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tabRatio="880" firstSheet="1" activeTab="6"/>
  </bookViews>
  <sheets>
    <sheet name="Berechnung" sheetId="1" r:id="rId1"/>
    <sheet name="Calculate Speed 30 sec" sheetId="2" r:id="rId2"/>
    <sheet name="Calculate Speed 3 min" sheetId="3" r:id="rId3"/>
    <sheet name="Calculate Difficulty" sheetId="4" r:id="rId4"/>
    <sheet name="Calculate Presentation" sheetId="5" r:id="rId5"/>
    <sheet name="Calculate Required Elements" sheetId="6" r:id="rId6"/>
    <sheet name="Ergebnis gesamt" sheetId="7" r:id="rId7"/>
    <sheet name="Ergebnis 30 sec." sheetId="8" r:id="rId8"/>
    <sheet name="Ergebnis 3 min." sheetId="9" r:id="rId9"/>
    <sheet name="Ergebnis Freestyle" sheetId="10" r:id="rId10"/>
  </sheets>
  <externalReferences>
    <externalReference r:id="rId13"/>
  </externalReferences>
  <definedNames>
    <definedName name="Kat.">'[1]Tabelle3'!$A$1:$A$5</definedName>
    <definedName name="Kategorien" localSheetId="8">#REF!</definedName>
    <definedName name="Kategorien" localSheetId="7">#REF!</definedName>
    <definedName name="Kategorien" localSheetId="9">#REF!</definedName>
    <definedName name="Kategorien">#REF!</definedName>
  </definedNames>
  <calcPr fullCalcOnLoad="1"/>
</workbook>
</file>

<file path=xl/comments6.xml><?xml version="1.0" encoding="utf-8"?>
<comments xmlns="http://schemas.openxmlformats.org/spreadsheetml/2006/main">
  <authors>
    <author>gerry</author>
    <author>Bl?mel Gerhard - GrECo Holding</author>
  </authors>
  <commentList>
    <comment ref="D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J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K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S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T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V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Z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AA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AB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AC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AE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AF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<sst xmlns="http://schemas.openxmlformats.org/spreadsheetml/2006/main" count="213" uniqueCount="99">
  <si>
    <t>30 sec. Speed</t>
  </si>
  <si>
    <t>3 min. Speed</t>
  </si>
  <si>
    <t>Freestyle</t>
  </si>
  <si>
    <t>Gesamt</t>
  </si>
  <si>
    <t>Nr.</t>
  </si>
  <si>
    <t>Vorname</t>
  </si>
  <si>
    <t>Name</t>
  </si>
  <si>
    <t>Geb.Jahr</t>
  </si>
  <si>
    <t>Verein</t>
  </si>
  <si>
    <t>Wert</t>
  </si>
  <si>
    <t>Ergebnis</t>
  </si>
  <si>
    <t>Difficulty</t>
  </si>
  <si>
    <t>Presentation</t>
  </si>
  <si>
    <t>Abzug</t>
  </si>
  <si>
    <t>J1</t>
  </si>
  <si>
    <t>J2</t>
  </si>
  <si>
    <t>J3</t>
  </si>
  <si>
    <t>MW 1</t>
  </si>
  <si>
    <t>MW 2</t>
  </si>
  <si>
    <t>MW 3</t>
  </si>
  <si>
    <t>Min Diff</t>
  </si>
  <si>
    <t>Max MW</t>
  </si>
  <si>
    <t>D1</t>
  </si>
  <si>
    <t>D2</t>
  </si>
  <si>
    <t>L1</t>
  </si>
  <si>
    <t>L2</t>
  </si>
  <si>
    <t>L3</t>
  </si>
  <si>
    <t>L4</t>
  </si>
  <si>
    <t>Punkte</t>
  </si>
  <si>
    <t>Mittelwert</t>
  </si>
  <si>
    <t>Differenz Judges</t>
  </si>
  <si>
    <t>Level 1</t>
  </si>
  <si>
    <t>Level 2</t>
  </si>
  <si>
    <t>Takt</t>
  </si>
  <si>
    <t>Akzente</t>
  </si>
  <si>
    <t>∑</t>
  </si>
  <si>
    <t>Diff P1/P2</t>
  </si>
  <si>
    <t>M</t>
  </si>
  <si>
    <t>C</t>
  </si>
  <si>
    <t>P</t>
  </si>
  <si>
    <t>G</t>
  </si>
  <si>
    <t>R</t>
  </si>
  <si>
    <t>Rang Total</t>
  </si>
  <si>
    <t>Platz</t>
  </si>
  <si>
    <t>Jg</t>
  </si>
  <si>
    <t>Sprünge</t>
  </si>
  <si>
    <t>Total</t>
  </si>
  <si>
    <t>Rang</t>
  </si>
  <si>
    <t>Diffi</t>
  </si>
  <si>
    <t>Crea</t>
  </si>
  <si>
    <t>Diffi Total</t>
  </si>
  <si>
    <t>Crea Total</t>
  </si>
  <si>
    <t>Rang Diffi</t>
  </si>
  <si>
    <t>Rang Crea</t>
  </si>
  <si>
    <t>Rang Freestyle</t>
  </si>
  <si>
    <t>Sobald die Wertung von mind. 2 Judges eine Differenz von 8 Punkten aufweist, wird die Zeile des betreffenden Skippers in rot dargestellt</t>
  </si>
  <si>
    <t>MW Rang Diffi &amp; Crea</t>
  </si>
  <si>
    <t>Diff 1</t>
  </si>
  <si>
    <t>Diff 2</t>
  </si>
  <si>
    <t>Diff 3</t>
  </si>
  <si>
    <t>Rang x2</t>
  </si>
  <si>
    <t>B</t>
  </si>
  <si>
    <t>Req.Elem</t>
  </si>
  <si>
    <t>E1</t>
  </si>
  <si>
    <t>E2</t>
  </si>
  <si>
    <t>f</t>
  </si>
  <si>
    <t>F</t>
  </si>
  <si>
    <t>DIFF E1/E2</t>
  </si>
  <si>
    <t>Summe E1</t>
  </si>
  <si>
    <t>Summe E2</t>
  </si>
  <si>
    <t>Fehler</t>
  </si>
  <si>
    <t>L5</t>
  </si>
  <si>
    <t>L6</t>
  </si>
  <si>
    <t>Bewegung</t>
  </si>
  <si>
    <t>Bitte auch jede 0 eintragen, NICHT das Feld leer lassen!</t>
  </si>
  <si>
    <t>P1</t>
  </si>
  <si>
    <t>P2</t>
  </si>
  <si>
    <t>SPU RS Groß-Siegharts</t>
  </si>
  <si>
    <t>Friedl</t>
  </si>
  <si>
    <t>Ges.eindruck</t>
  </si>
  <si>
    <t>Ausf.</t>
  </si>
  <si>
    <t>Summe E3</t>
  </si>
  <si>
    <t>MW F</t>
  </si>
  <si>
    <t>MW f</t>
  </si>
  <si>
    <t>E3</t>
  </si>
  <si>
    <t>Head</t>
  </si>
  <si>
    <t>Marcel</t>
  </si>
  <si>
    <t>Jonas</t>
  </si>
  <si>
    <t>Kretschmer</t>
  </si>
  <si>
    <t>Gesamtwertung - Junioren männlich</t>
  </si>
  <si>
    <t>30 Sekunden Speed - Junioren männlich</t>
  </si>
  <si>
    <t>3 Minuten Speed - Junioren männlich</t>
  </si>
  <si>
    <t>Freestyle - Junioren männlich</t>
  </si>
  <si>
    <t>DIFF E1/E3</t>
  </si>
  <si>
    <t>DIFF E2/E3</t>
  </si>
  <si>
    <t>Level 3</t>
  </si>
  <si>
    <t>Level 4</t>
  </si>
  <si>
    <t>Level 5</t>
  </si>
  <si>
    <t>Level 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</si>
</sst>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3"/>
      <name val="Arial"/>
      <family val="2"/>
    </font>
    <font>
      <b/>
      <sz val="11"/>
      <name val="Tahoma"/>
      <family val="2"/>
    </font>
    <font>
      <sz val="9"/>
      <name val="Segoe UI"/>
      <family val="2"/>
    </font>
    <font>
      <b/>
      <sz val="14"/>
      <color indexed="10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0"/>
      <color rgb="FFFFFF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2" fillId="33" borderId="0" xfId="52" applyFill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34" borderId="0" xfId="52" applyFont="1" applyFill="1" applyAlignment="1">
      <alignment horizontal="center"/>
      <protection/>
    </xf>
    <xf numFmtId="0" fontId="3" fillId="35" borderId="0" xfId="52" applyFont="1" applyFill="1" applyAlignment="1">
      <alignment horizontal="center"/>
      <protection/>
    </xf>
    <xf numFmtId="0" fontId="3" fillId="36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2" fontId="2" fillId="34" borderId="0" xfId="52" applyNumberFormat="1" applyFill="1" applyBorder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2" fontId="2" fillId="35" borderId="0" xfId="52" applyNumberFormat="1" applyFill="1" applyAlignment="1">
      <alignment horizontal="center"/>
      <protection/>
    </xf>
    <xf numFmtId="2" fontId="2" fillId="36" borderId="0" xfId="52" applyNumberFormat="1" applyFill="1" applyAlignment="1">
      <alignment horizontal="center"/>
      <protection/>
    </xf>
    <xf numFmtId="2" fontId="2" fillId="33" borderId="0" xfId="52" applyNumberFormat="1" applyFill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7" fillId="37" borderId="0" xfId="52" applyFont="1" applyFill="1" applyAlignment="1">
      <alignment horizontal="center"/>
      <protection/>
    </xf>
    <xf numFmtId="0" fontId="7" fillId="38" borderId="0" xfId="52" applyFont="1" applyFill="1" applyAlignment="1">
      <alignment horizontal="center"/>
      <protection/>
    </xf>
    <xf numFmtId="0" fontId="7" fillId="39" borderId="0" xfId="52" applyFont="1" applyFill="1" applyAlignment="1">
      <alignment horizontal="center"/>
      <protection/>
    </xf>
    <xf numFmtId="0" fontId="7" fillId="27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37" borderId="10" xfId="52" applyFont="1" applyFill="1" applyBorder="1" applyAlignment="1">
      <alignment horizontal="center"/>
      <protection/>
    </xf>
    <xf numFmtId="0" fontId="6" fillId="38" borderId="10" xfId="52" applyFont="1" applyFill="1" applyBorder="1" applyAlignment="1">
      <alignment horizontal="center"/>
      <protection/>
    </xf>
    <xf numFmtId="0" fontId="6" fillId="39" borderId="10" xfId="52" applyFont="1" applyFill="1" applyBorder="1" applyAlignment="1">
      <alignment horizontal="center"/>
      <protection/>
    </xf>
    <xf numFmtId="0" fontId="6" fillId="27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7" fillId="27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37" borderId="13" xfId="0" applyFont="1" applyFill="1" applyBorder="1" applyAlignment="1">
      <alignment horizontal="center"/>
    </xf>
    <xf numFmtId="164" fontId="6" fillId="37" borderId="13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164" fontId="6" fillId="4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164" fontId="7" fillId="37" borderId="11" xfId="0" applyNumberFormat="1" applyFont="1" applyFill="1" applyBorder="1" applyAlignment="1">
      <alignment horizontal="center"/>
    </xf>
    <xf numFmtId="164" fontId="7" fillId="4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/>
    </xf>
    <xf numFmtId="165" fontId="6" fillId="38" borderId="13" xfId="0" applyNumberFormat="1" applyFont="1" applyFill="1" applyBorder="1" applyAlignment="1">
      <alignment horizontal="center"/>
    </xf>
    <xf numFmtId="164" fontId="6" fillId="38" borderId="13" xfId="0" applyNumberFormat="1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165" fontId="7" fillId="38" borderId="11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7" fillId="37" borderId="11" xfId="0" applyNumberFormat="1" applyFont="1" applyFill="1" applyBorder="1" applyAlignment="1">
      <alignment horizontal="center"/>
    </xf>
    <xf numFmtId="2" fontId="7" fillId="38" borderId="1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2" fillId="0" borderId="0" xfId="54">
      <alignment/>
      <protection/>
    </xf>
    <xf numFmtId="166" fontId="2" fillId="41" borderId="15" xfId="54" applyNumberFormat="1" applyFill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/>
      <protection/>
    </xf>
    <xf numFmtId="0" fontId="3" fillId="0" borderId="14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2" fillId="34" borderId="16" xfId="54" applyFont="1" applyFill="1" applyBorder="1" applyAlignment="1">
      <alignment horizontal="center"/>
      <protection/>
    </xf>
    <xf numFmtId="166" fontId="2" fillId="34" borderId="17" xfId="54" applyNumberFormat="1" applyFont="1" applyFill="1" applyBorder="1" applyAlignment="1">
      <alignment horizontal="center"/>
      <protection/>
    </xf>
    <xf numFmtId="166" fontId="2" fillId="34" borderId="18" xfId="54" applyNumberFormat="1" applyFont="1" applyFill="1" applyBorder="1" applyAlignment="1">
      <alignment horizontal="center"/>
      <protection/>
    </xf>
    <xf numFmtId="166" fontId="2" fillId="35" borderId="16" xfId="54" applyNumberFormat="1" applyFont="1" applyFill="1" applyBorder="1" applyAlignment="1">
      <alignment horizontal="center"/>
      <protection/>
    </xf>
    <xf numFmtId="166" fontId="2" fillId="35" borderId="17" xfId="54" applyNumberFormat="1" applyFont="1" applyFill="1" applyBorder="1" applyAlignment="1">
      <alignment horizontal="center"/>
      <protection/>
    </xf>
    <xf numFmtId="166" fontId="2" fillId="35" borderId="18" xfId="54" applyNumberFormat="1" applyFont="1" applyFill="1" applyBorder="1" applyAlignment="1">
      <alignment horizontal="center"/>
      <protection/>
    </xf>
    <xf numFmtId="166" fontId="2" fillId="36" borderId="17" xfId="54" applyNumberFormat="1" applyFont="1" applyFill="1" applyBorder="1" applyAlignment="1">
      <alignment horizontal="center"/>
      <protection/>
    </xf>
    <xf numFmtId="4" fontId="3" fillId="41" borderId="16" xfId="54" applyNumberFormat="1" applyFont="1" applyFill="1" applyBorder="1" applyAlignment="1">
      <alignment horizontal="center"/>
      <protection/>
    </xf>
    <xf numFmtId="0" fontId="7" fillId="0" borderId="11" xfId="54" applyFont="1" applyBorder="1">
      <alignment/>
      <protection/>
    </xf>
    <xf numFmtId="0" fontId="0" fillId="25" borderId="0" xfId="0" applyFill="1" applyAlignment="1">
      <alignment/>
    </xf>
    <xf numFmtId="2" fontId="7" fillId="0" borderId="11" xfId="54" applyNumberFormat="1" applyFont="1" applyBorder="1">
      <alignment/>
      <protection/>
    </xf>
    <xf numFmtId="1" fontId="7" fillId="0" borderId="11" xfId="54" applyNumberFormat="1" applyFont="1" applyBorder="1">
      <alignment/>
      <protection/>
    </xf>
    <xf numFmtId="166" fontId="2" fillId="36" borderId="19" xfId="54" applyNumberFormat="1" applyFont="1" applyFill="1" applyBorder="1" applyAlignment="1">
      <alignment horizontal="center"/>
      <protection/>
    </xf>
    <xf numFmtId="166" fontId="2" fillId="36" borderId="19" xfId="54" applyNumberFormat="1" applyFont="1" applyFill="1" applyBorder="1" applyAlignment="1">
      <alignment horizontal="center" wrapText="1"/>
      <protection/>
    </xf>
    <xf numFmtId="166" fontId="2" fillId="34" borderId="16" xfId="54" applyNumberFormat="1" applyFont="1" applyFill="1" applyBorder="1" applyAlignment="1">
      <alignment horizontal="center"/>
      <protection/>
    </xf>
    <xf numFmtId="166" fontId="2" fillId="36" borderId="18" xfId="54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165" fontId="7" fillId="0" borderId="11" xfId="54" applyNumberFormat="1" applyFont="1" applyBorder="1">
      <alignment/>
      <protection/>
    </xf>
    <xf numFmtId="164" fontId="6" fillId="37" borderId="11" xfId="0" applyNumberFormat="1" applyFont="1" applyFill="1" applyBorder="1" applyAlignment="1">
      <alignment horizontal="center"/>
    </xf>
    <xf numFmtId="164" fontId="6" fillId="11" borderId="13" xfId="0" applyNumberFormat="1" applyFont="1" applyFill="1" applyBorder="1" applyAlignment="1">
      <alignment horizontal="center"/>
    </xf>
    <xf numFmtId="164" fontId="6" fillId="13" borderId="13" xfId="0" applyNumberFormat="1" applyFont="1" applyFill="1" applyBorder="1" applyAlignment="1">
      <alignment horizontal="center"/>
    </xf>
    <xf numFmtId="2" fontId="7" fillId="13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1" fontId="7" fillId="38" borderId="11" xfId="0" applyNumberFormat="1" applyFont="1" applyFill="1" applyBorder="1" applyAlignment="1">
      <alignment horizontal="center"/>
    </xf>
    <xf numFmtId="1" fontId="7" fillId="13" borderId="11" xfId="0" applyNumberFormat="1" applyFont="1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shrinkToFit="1"/>
      <protection locked="0"/>
    </xf>
    <xf numFmtId="0" fontId="0" fillId="0" borderId="20" xfId="0" applyFill="1" applyBorder="1" applyAlignment="1">
      <alignment horizontal="center"/>
    </xf>
    <xf numFmtId="0" fontId="2" fillId="0" borderId="0" xfId="54" applyAlignment="1">
      <alignment horizontal="center"/>
      <protection/>
    </xf>
    <xf numFmtId="2" fontId="2" fillId="0" borderId="0" xfId="54" applyNumberFormat="1">
      <alignment/>
      <protection/>
    </xf>
    <xf numFmtId="1" fontId="7" fillId="40" borderId="11" xfId="0" applyNumberFormat="1" applyFont="1" applyFill="1" applyBorder="1" applyAlignment="1">
      <alignment horizontal="center"/>
    </xf>
    <xf numFmtId="0" fontId="2" fillId="34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0" fontId="2" fillId="35" borderId="0" xfId="52" applyFont="1" applyFill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0" fontId="2" fillId="36" borderId="0" xfId="52" applyFill="1" applyAlignment="1">
      <alignment horizontal="center"/>
      <protection/>
    </xf>
    <xf numFmtId="0" fontId="6" fillId="37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165" fontId="6" fillId="38" borderId="0" xfId="0" applyNumberFormat="1" applyFont="1" applyFill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4" fontId="3" fillId="41" borderId="21" xfId="54" applyNumberFormat="1" applyFont="1" applyFill="1" applyBorder="1" applyAlignment="1">
      <alignment horizontal="center" wrapText="1"/>
      <protection/>
    </xf>
    <xf numFmtId="0" fontId="2" fillId="0" borderId="18" xfId="54" applyBorder="1" applyAlignment="1">
      <alignment/>
      <protection/>
    </xf>
    <xf numFmtId="166" fontId="3" fillId="36" borderId="15" xfId="54" applyNumberFormat="1" applyFont="1" applyFill="1" applyBorder="1" applyAlignment="1">
      <alignment horizontal="center"/>
      <protection/>
    </xf>
    <xf numFmtId="166" fontId="3" fillId="36" borderId="21" xfId="54" applyNumberFormat="1" applyFont="1" applyFill="1" applyBorder="1" applyAlignment="1">
      <alignment horizontal="center"/>
      <protection/>
    </xf>
    <xf numFmtId="166" fontId="3" fillId="34" borderId="15" xfId="54" applyNumberFormat="1" applyFont="1" applyFill="1" applyBorder="1" applyAlignment="1">
      <alignment horizontal="center"/>
      <protection/>
    </xf>
    <xf numFmtId="166" fontId="3" fillId="34" borderId="21" xfId="54" applyNumberFormat="1" applyFont="1" applyFill="1" applyBorder="1" applyAlignment="1">
      <alignment horizontal="center"/>
      <protection/>
    </xf>
    <xf numFmtId="166" fontId="3" fillId="35" borderId="15" xfId="54" applyNumberFormat="1" applyFont="1" applyFill="1" applyBorder="1" applyAlignment="1">
      <alignment horizontal="center"/>
      <protection/>
    </xf>
    <xf numFmtId="166" fontId="3" fillId="35" borderId="21" xfId="54" applyNumberFormat="1" applyFont="1" applyFill="1" applyBorder="1" applyAlignment="1">
      <alignment horizontal="center"/>
      <protection/>
    </xf>
    <xf numFmtId="0" fontId="48" fillId="42" borderId="0" xfId="54" applyFont="1" applyFill="1" applyAlignment="1">
      <alignment horizontal="center"/>
      <protection/>
    </xf>
    <xf numFmtId="166" fontId="3" fillId="34" borderId="0" xfId="54" applyNumberFormat="1" applyFont="1" applyFill="1" applyBorder="1" applyAlignment="1">
      <alignment horizontal="center"/>
      <protection/>
    </xf>
    <xf numFmtId="166" fontId="3" fillId="34" borderId="22" xfId="54" applyNumberFormat="1" applyFont="1" applyFill="1" applyBorder="1" applyAlignment="1">
      <alignment horizontal="center"/>
      <protection/>
    </xf>
    <xf numFmtId="166" fontId="3" fillId="35" borderId="0" xfId="54" applyNumberFormat="1" applyFont="1" applyFill="1" applyBorder="1" applyAlignment="1">
      <alignment horizontal="center"/>
      <protection/>
    </xf>
    <xf numFmtId="166" fontId="3" fillId="35" borderId="22" xfId="54" applyNumberFormat="1" applyFont="1" applyFill="1" applyBorder="1" applyAlignment="1">
      <alignment horizontal="center"/>
      <protection/>
    </xf>
    <xf numFmtId="166" fontId="3" fillId="36" borderId="23" xfId="54" applyNumberFormat="1" applyFont="1" applyFill="1" applyBorder="1" applyAlignment="1">
      <alignment horizont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Standard 4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3"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9"/>
        </patternFill>
      </fill>
      <border/>
    </dxf>
    <dxf>
      <font>
        <color rgb="FFFF0000"/>
      </font>
      <fill>
        <patternFill>
          <bgColor theme="9" tint="0.3999499976634979"/>
        </patternFill>
      </fill>
      <border/>
    </dxf>
    <dxf>
      <font>
        <color rgb="FFFF0000"/>
      </font>
      <fill>
        <patternFill>
          <fgColor rgb="FFFF0000"/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uemel\Desktop\120317_Berechnung_Einzel%20&#214;M_le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"/>
      <sheetName val="Calculate Speed 30 sec"/>
      <sheetName val="Calculate Speed 3 min"/>
      <sheetName val="Calculate Difficulty"/>
      <sheetName val="Calculate Presentation"/>
      <sheetName val="Calculate Variation"/>
      <sheetName val="Tabelle3"/>
      <sheetName val="Ergebnis"/>
    </sheetNames>
    <sheetDataSet>
      <sheetData sheetId="6">
        <row r="1">
          <cell r="A1">
            <v>0</v>
          </cell>
        </row>
        <row r="2">
          <cell r="A2" t="str">
            <v>Allgemeine Klasse</v>
          </cell>
        </row>
        <row r="3">
          <cell r="A3" t="str">
            <v>Junioren</v>
          </cell>
        </row>
        <row r="4">
          <cell r="A4" t="str">
            <v>Jugend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pane xSplit="5" ySplit="1" topLeftCell="G2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L3" sqref="L3"/>
    </sheetView>
  </sheetViews>
  <sheetFormatPr defaultColWidth="11.421875" defaultRowHeight="15"/>
  <cols>
    <col min="1" max="1" width="5.140625" style="1" customWidth="1"/>
    <col min="2" max="2" width="10.00390625" style="2" bestFit="1" customWidth="1"/>
    <col min="3" max="3" width="11.421875" style="2" customWidth="1"/>
    <col min="4" max="4" width="11.7109375" style="3" customWidth="1"/>
    <col min="5" max="5" width="17.7109375" style="2" customWidth="1"/>
    <col min="6" max="6" width="7.00390625" style="3" bestFit="1" customWidth="1"/>
    <col min="7" max="7" width="8.8515625" style="3" bestFit="1" customWidth="1"/>
    <col min="8" max="8" width="8.7109375" style="3" bestFit="1" customWidth="1"/>
    <col min="9" max="9" width="8.8515625" style="3" bestFit="1" customWidth="1"/>
    <col min="10" max="10" width="8.8515625" style="2" bestFit="1" customWidth="1"/>
    <col min="11" max="11" width="8.8515625" style="2" customWidth="1"/>
    <col min="12" max="12" width="12.421875" style="2" bestFit="1" customWidth="1"/>
    <col min="13" max="13" width="9.28125" style="2" bestFit="1" customWidth="1"/>
    <col min="14" max="14" width="7.421875" style="2" customWidth="1"/>
    <col min="15" max="15" width="10.140625" style="2" customWidth="1"/>
    <col min="16" max="16" width="11.421875" style="3" customWidth="1"/>
    <col min="17" max="16384" width="11.421875" style="2" customWidth="1"/>
  </cols>
  <sheetData>
    <row r="1" spans="6:16" ht="12.75">
      <c r="F1" s="117" t="s">
        <v>0</v>
      </c>
      <c r="G1" s="118"/>
      <c r="H1" s="119" t="s">
        <v>1</v>
      </c>
      <c r="I1" s="120"/>
      <c r="J1" s="121" t="s">
        <v>2</v>
      </c>
      <c r="K1" s="121"/>
      <c r="L1" s="121"/>
      <c r="M1" s="121"/>
      <c r="N1" s="121"/>
      <c r="O1" s="121"/>
      <c r="P1" s="4" t="s">
        <v>3</v>
      </c>
    </row>
    <row r="2" spans="1:16" ht="12.75">
      <c r="A2" s="1" t="s">
        <v>4</v>
      </c>
      <c r="B2" s="1" t="s">
        <v>5</v>
      </c>
      <c r="C2" s="1" t="s">
        <v>6</v>
      </c>
      <c r="D2" s="5" t="s">
        <v>7</v>
      </c>
      <c r="E2" s="1" t="s">
        <v>8</v>
      </c>
      <c r="F2" s="6" t="s">
        <v>9</v>
      </c>
      <c r="G2" s="6" t="s">
        <v>10</v>
      </c>
      <c r="H2" s="7" t="s">
        <v>9</v>
      </c>
      <c r="I2" s="7" t="s">
        <v>10</v>
      </c>
      <c r="J2" s="8" t="s">
        <v>11</v>
      </c>
      <c r="K2" s="8" t="s">
        <v>13</v>
      </c>
      <c r="L2" s="8" t="s">
        <v>12</v>
      </c>
      <c r="M2" s="8" t="s">
        <v>62</v>
      </c>
      <c r="N2" s="8" t="s">
        <v>13</v>
      </c>
      <c r="O2" s="8" t="s">
        <v>10</v>
      </c>
      <c r="P2" s="4"/>
    </row>
    <row r="3" spans="1:16" ht="15">
      <c r="A3" s="110">
        <v>201</v>
      </c>
      <c r="B3" s="111" t="s">
        <v>86</v>
      </c>
      <c r="C3" s="112" t="s">
        <v>78</v>
      </c>
      <c r="D3" s="110">
        <v>2002</v>
      </c>
      <c r="E3" s="112" t="s">
        <v>77</v>
      </c>
      <c r="F3" s="9">
        <f>'Calculate Speed 30 sec'!Q3</f>
        <v>60</v>
      </c>
      <c r="G3" s="10">
        <f>'Calculate Speed 30 sec'!R3</f>
        <v>300</v>
      </c>
      <c r="H3" s="11">
        <f>'Calculate Speed 3 min'!Q3</f>
        <v>320</v>
      </c>
      <c r="I3" s="12">
        <f>'Calculate Speed 3 min'!R3</f>
        <v>320</v>
      </c>
      <c r="J3" s="13">
        <f>'Calculate Difficulty'!S3</f>
        <v>73.5375</v>
      </c>
      <c r="K3" s="13">
        <f>'Calculate Required Elements'!AK3/2</f>
        <v>37.5</v>
      </c>
      <c r="L3" s="13">
        <f>'Calculate Presentation'!P3</f>
        <v>66.25</v>
      </c>
      <c r="M3" s="13">
        <f>'Calculate Required Elements'!AJ3</f>
        <v>30.555555555555554</v>
      </c>
      <c r="N3" s="13">
        <f>'Calculate Required Elements'!AK3/2</f>
        <v>37.5</v>
      </c>
      <c r="O3" s="13">
        <f>IF((J3-K3)+(L3+M3-N3)&gt;0,((J3-K3)+(L3+M3-N3)),0)</f>
        <v>95.34305555555555</v>
      </c>
      <c r="P3" s="14">
        <f>SUM(O3,I3,G3)</f>
        <v>715.3430555555556</v>
      </c>
    </row>
    <row r="4" spans="1:16" ht="15">
      <c r="A4" s="113">
        <v>202</v>
      </c>
      <c r="B4" s="111" t="s">
        <v>87</v>
      </c>
      <c r="C4" s="112" t="s">
        <v>88</v>
      </c>
      <c r="D4" s="110">
        <v>2000</v>
      </c>
      <c r="E4" s="112" t="s">
        <v>77</v>
      </c>
      <c r="F4" s="9">
        <f>'Calculate Speed 30 sec'!Q4</f>
        <v>67</v>
      </c>
      <c r="G4" s="10">
        <f>'Calculate Speed 30 sec'!R4</f>
        <v>335</v>
      </c>
      <c r="H4" s="11">
        <f>'Calculate Speed 3 min'!Q4</f>
        <v>305</v>
      </c>
      <c r="I4" s="12">
        <f>'Calculate Speed 3 min'!R4</f>
        <v>305</v>
      </c>
      <c r="J4" s="13">
        <f>'Calculate Difficulty'!S4</f>
        <v>51.425</v>
      </c>
      <c r="K4" s="13">
        <f>'Calculate Required Elements'!AK4/2</f>
        <v>37.5</v>
      </c>
      <c r="L4" s="13">
        <f>'Calculate Presentation'!P4</f>
        <v>82.1875</v>
      </c>
      <c r="M4" s="13">
        <f>'Calculate Required Elements'!AJ4</f>
        <v>20.833333333333332</v>
      </c>
      <c r="N4" s="13">
        <f>'Calculate Required Elements'!AK4/2</f>
        <v>37.5</v>
      </c>
      <c r="O4" s="13">
        <f>IF((J4-K4)+(L4+M4-N4)&gt;0,((J4-K4)+(L4+M4-N4)),0)</f>
        <v>79.44583333333333</v>
      </c>
      <c r="P4" s="14">
        <f>SUM(O4,I4,G4)</f>
        <v>719.4458333333333</v>
      </c>
    </row>
  </sheetData>
  <sheetProtection/>
  <mergeCells count="3">
    <mergeCell ref="F1:G1"/>
    <mergeCell ref="H1:I1"/>
    <mergeCell ref="J1:O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"/>
  <sheetViews>
    <sheetView zoomScale="80" zoomScaleNormal="80" zoomScalePageLayoutView="0" workbookViewId="0" topLeftCell="A1">
      <selection activeCell="P7" sqref="P7"/>
    </sheetView>
  </sheetViews>
  <sheetFormatPr defaultColWidth="11.421875" defaultRowHeight="15"/>
  <cols>
    <col min="1" max="1" width="5.57421875" style="73" bestFit="1" customWidth="1"/>
    <col min="2" max="2" width="9.28125" style="73" bestFit="1" customWidth="1"/>
    <col min="3" max="3" width="13.140625" style="73" bestFit="1" customWidth="1"/>
    <col min="4" max="4" width="5.57421875" style="73" bestFit="1" customWidth="1"/>
    <col min="5" max="5" width="32.28125" style="73" bestFit="1" customWidth="1"/>
    <col min="6" max="6" width="8.28125" style="73" customWidth="1"/>
    <col min="7" max="7" width="9.8515625" style="73" customWidth="1"/>
    <col min="8" max="8" width="9.28125" style="73" customWidth="1"/>
    <col min="9" max="9" width="9.421875" style="73" customWidth="1"/>
    <col min="10" max="10" width="8.421875" style="73" customWidth="1"/>
    <col min="11" max="11" width="9.8515625" style="73" customWidth="1"/>
    <col min="12" max="12" width="9.28125" style="73" bestFit="1" customWidth="1"/>
    <col min="13" max="13" width="10.00390625" style="73" customWidth="1"/>
    <col min="14" max="14" width="11.421875" style="73" customWidth="1"/>
    <col min="15" max="15" width="9.8515625" style="73" customWidth="1"/>
    <col min="16" max="16" width="10.28125" style="73" customWidth="1"/>
    <col min="17" max="16384" width="11.421875" style="73" customWidth="1"/>
  </cols>
  <sheetData>
    <row r="1" spans="1:16" ht="12.75">
      <c r="A1" s="136" t="s">
        <v>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3" spans="6:16" ht="12.75" customHeight="1">
      <c r="F3" s="130" t="s">
        <v>2</v>
      </c>
      <c r="G3" s="141"/>
      <c r="H3" s="141"/>
      <c r="I3" s="141"/>
      <c r="J3" s="141"/>
      <c r="K3" s="141"/>
      <c r="L3" s="141"/>
      <c r="M3" s="141"/>
      <c r="N3" s="141"/>
      <c r="O3" s="141"/>
      <c r="P3" s="131"/>
    </row>
    <row r="4" spans="1:16" ht="25.5">
      <c r="A4" s="75" t="s">
        <v>43</v>
      </c>
      <c r="B4" s="76" t="s">
        <v>5</v>
      </c>
      <c r="C4" s="76" t="s">
        <v>6</v>
      </c>
      <c r="D4" s="77" t="s">
        <v>44</v>
      </c>
      <c r="E4" s="78" t="s">
        <v>8</v>
      </c>
      <c r="F4" s="91" t="s">
        <v>48</v>
      </c>
      <c r="G4" s="91" t="s">
        <v>13</v>
      </c>
      <c r="H4" s="91" t="s">
        <v>50</v>
      </c>
      <c r="I4" s="91" t="s">
        <v>52</v>
      </c>
      <c r="J4" s="91" t="s">
        <v>49</v>
      </c>
      <c r="K4" s="91" t="s">
        <v>13</v>
      </c>
      <c r="L4" s="91" t="s">
        <v>51</v>
      </c>
      <c r="M4" s="91" t="s">
        <v>53</v>
      </c>
      <c r="N4" s="92" t="s">
        <v>56</v>
      </c>
      <c r="O4" s="91" t="s">
        <v>46</v>
      </c>
      <c r="P4" s="92" t="s">
        <v>54</v>
      </c>
    </row>
    <row r="5" spans="1:16" ht="14.25">
      <c r="A5" s="73">
        <v>1</v>
      </c>
      <c r="B5" s="31" t="str">
        <f>IF(Berechnung!B3="","",Berechnung!B3)</f>
        <v>Marcel</v>
      </c>
      <c r="C5" s="31" t="str">
        <f>IF(Berechnung!C3="","",Berechnung!C3)</f>
        <v>Friedl</v>
      </c>
      <c r="D5" s="31">
        <f>IF(Berechnung!D3="","",Berechnung!D3)</f>
        <v>2002</v>
      </c>
      <c r="E5" s="31" t="str">
        <f>IF(Berechnung!E3="","",Berechnung!E3)</f>
        <v>SPU RS Groß-Siegharts</v>
      </c>
      <c r="F5" s="89">
        <f>IF(Berechnung!J3="","",Berechnung!J3)</f>
        <v>73.5375</v>
      </c>
      <c r="G5" s="89">
        <f>IF(Berechnung!K3="","",Berechnung!K3)</f>
        <v>37.5</v>
      </c>
      <c r="H5" s="89">
        <f>F5-G5</f>
        <v>36.037499999999994</v>
      </c>
      <c r="I5" s="90">
        <f>RANK(H5,$H$5:$H$6)</f>
        <v>1</v>
      </c>
      <c r="J5" s="89">
        <f>IF(Berechnung!L3+Berechnung!M3="","",Berechnung!L3+Berechnung!M3)</f>
        <v>96.80555555555556</v>
      </c>
      <c r="K5" s="89">
        <f>IF(Berechnung!N3="","",Berechnung!N3)</f>
        <v>37.5</v>
      </c>
      <c r="L5" s="89">
        <f>J5-K5</f>
        <v>59.30555555555556</v>
      </c>
      <c r="M5" s="90">
        <f>RANK(L5,$L$5:$L$6)</f>
        <v>2</v>
      </c>
      <c r="N5" s="87">
        <f>AVERAGE(I5,M5)</f>
        <v>1.5</v>
      </c>
      <c r="O5" s="89">
        <f>IF((F5-G5)+(J5-K5)&lt;0,0,(F5-G5)+(J5-K5))</f>
        <v>95.34305555555555</v>
      </c>
      <c r="P5" s="90">
        <f>RANK(N5,$N$5:$N$6,1)</f>
        <v>1</v>
      </c>
    </row>
    <row r="6" spans="1:16" ht="14.25">
      <c r="A6" s="73">
        <v>2</v>
      </c>
      <c r="B6" s="31" t="str">
        <f>IF(Berechnung!B4="","",Berechnung!B4)</f>
        <v>Jonas</v>
      </c>
      <c r="C6" s="31" t="str">
        <f>IF(Berechnung!C4="","",Berechnung!C4)</f>
        <v>Kretschmer</v>
      </c>
      <c r="D6" s="31">
        <f>IF(Berechnung!D4="","",Berechnung!D4)</f>
        <v>2000</v>
      </c>
      <c r="E6" s="31" t="str">
        <f>IF(Berechnung!E4="","",Berechnung!E4)</f>
        <v>SPU RS Groß-Siegharts</v>
      </c>
      <c r="F6" s="89">
        <f>IF(Berechnung!J4="","",Berechnung!J4)</f>
        <v>51.425</v>
      </c>
      <c r="G6" s="89">
        <f>IF(Berechnung!K4="","",Berechnung!K4)</f>
        <v>37.5</v>
      </c>
      <c r="H6" s="89">
        <f>F6-G6</f>
        <v>13.924999999999997</v>
      </c>
      <c r="I6" s="90">
        <f>RANK(H6,$H$5:$H$6)</f>
        <v>2</v>
      </c>
      <c r="J6" s="89">
        <f>IF(Berechnung!L4+Berechnung!M4="","",Berechnung!L4+Berechnung!M4)</f>
        <v>103.02083333333333</v>
      </c>
      <c r="K6" s="89">
        <f>IF(Berechnung!N4="","",Berechnung!N4)</f>
        <v>37.5</v>
      </c>
      <c r="L6" s="89">
        <f>J6-K6</f>
        <v>65.52083333333333</v>
      </c>
      <c r="M6" s="90">
        <f>RANK(L6,$L$5:$L$6)</f>
        <v>1</v>
      </c>
      <c r="N6" s="87">
        <f>AVERAGE(I6,M6)</f>
        <v>1.5</v>
      </c>
      <c r="O6" s="89">
        <f>IF((F6-G6)+(J6-K6)&lt;0,0,(F6-G6)+(J6-K6))</f>
        <v>79.44583333333333</v>
      </c>
      <c r="P6" s="90">
        <v>2</v>
      </c>
    </row>
  </sheetData>
  <sheetProtection/>
  <mergeCells count="2">
    <mergeCell ref="F3:P3"/>
    <mergeCell ref="A1:P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129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3.57421875" style="15" bestFit="1" customWidth="1"/>
    <col min="2" max="3" width="11.421875" style="16" customWidth="1"/>
    <col min="4" max="7" width="7.57421875" style="38" customWidth="1"/>
    <col min="8" max="8" width="6.28125" style="36" bestFit="1" customWidth="1"/>
    <col min="9" max="9" width="11.140625" style="36" customWidth="1"/>
    <col min="10" max="10" width="6.28125" style="36" bestFit="1" customWidth="1"/>
    <col min="11" max="11" width="7.8515625" style="36" bestFit="1" customWidth="1"/>
    <col min="12" max="12" width="6.28125" style="36" bestFit="1" customWidth="1"/>
    <col min="13" max="13" width="7.8515625" style="36" bestFit="1" customWidth="1"/>
    <col min="14" max="14" width="8.8515625" style="36" bestFit="1" customWidth="1"/>
    <col min="15" max="15" width="7.8515625" style="36" bestFit="1" customWidth="1"/>
    <col min="16" max="16" width="9.421875" style="36" bestFit="1" customWidth="1"/>
    <col min="17" max="17" width="7.8515625" style="36" bestFit="1" customWidth="1"/>
    <col min="18" max="18" width="10.140625" style="22" bestFit="1" customWidth="1"/>
    <col min="19" max="16384" width="11.421875" style="16" customWidth="1"/>
  </cols>
  <sheetData>
    <row r="1" spans="4:17" ht="15">
      <c r="D1" s="17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5">
      <c r="A2" s="23" t="s">
        <v>4</v>
      </c>
      <c r="B2" s="24" t="s">
        <v>5</v>
      </c>
      <c r="C2" s="24" t="s">
        <v>6</v>
      </c>
      <c r="D2" s="25" t="s">
        <v>14</v>
      </c>
      <c r="E2" s="26" t="s">
        <v>15</v>
      </c>
      <c r="F2" s="27" t="s">
        <v>16</v>
      </c>
      <c r="G2" s="28" t="s">
        <v>13</v>
      </c>
      <c r="H2" s="29" t="s">
        <v>57</v>
      </c>
      <c r="I2" s="29" t="s">
        <v>17</v>
      </c>
      <c r="J2" s="29" t="s">
        <v>58</v>
      </c>
      <c r="K2" s="29" t="s">
        <v>18</v>
      </c>
      <c r="L2" s="29" t="s">
        <v>59</v>
      </c>
      <c r="M2" s="29" t="s">
        <v>19</v>
      </c>
      <c r="N2" s="29" t="s">
        <v>20</v>
      </c>
      <c r="O2" s="29" t="s">
        <v>9</v>
      </c>
      <c r="P2" s="29" t="s">
        <v>21</v>
      </c>
      <c r="Q2" s="29" t="s">
        <v>9</v>
      </c>
      <c r="R2" s="29" t="s">
        <v>10</v>
      </c>
    </row>
    <row r="3" spans="1:18" s="35" customFormat="1" ht="15">
      <c r="A3" s="30">
        <v>1</v>
      </c>
      <c r="B3" s="31" t="str">
        <f>IF(Berechnung!B3="","",Berechnung!B3)</f>
        <v>Marcel</v>
      </c>
      <c r="C3" s="31" t="str">
        <f>IF(Berechnung!C3="","",Berechnung!C3)</f>
        <v>Friedl</v>
      </c>
      <c r="D3" s="56">
        <v>60</v>
      </c>
      <c r="E3" s="105">
        <v>60</v>
      </c>
      <c r="F3" s="106">
        <v>61</v>
      </c>
      <c r="G3" s="32"/>
      <c r="H3" s="33">
        <f>IF((D3-E3)&lt;0,(D3-E3)*-1,D3-E3)</f>
        <v>0</v>
      </c>
      <c r="I3" s="33">
        <f>AVERAGE(D3:E3)</f>
        <v>60</v>
      </c>
      <c r="J3" s="33">
        <f>IF((E3-F3)&lt;0,(E3-F3)*-1,E3-F3)</f>
        <v>1</v>
      </c>
      <c r="K3" s="33">
        <f>AVERAGE(E3:F3)</f>
        <v>60.5</v>
      </c>
      <c r="L3" s="33">
        <f>IF((D3-F3)&lt;0,(D3-F3)*-1,D3-F3)</f>
        <v>1</v>
      </c>
      <c r="M3" s="33">
        <f>AVERAGE(F3,D3)</f>
        <v>60.5</v>
      </c>
      <c r="N3" s="33">
        <f>MIN(H3,J3,L3)</f>
        <v>0</v>
      </c>
      <c r="O3" s="33">
        <f>IF(OR(H3=N3),I3,IF(OR(J3=N3),K3,M3))</f>
        <v>60</v>
      </c>
      <c r="P3" s="33">
        <f>MAX(I3,K3,M3)</f>
        <v>60.5</v>
      </c>
      <c r="Q3" s="33">
        <f>IF(OR(H3=0,J3=0,L3=0),O3,IF(OR(H3=J3,J3=L3,H3=L3),P3,O3))</f>
        <v>60</v>
      </c>
      <c r="R3" s="34">
        <f>(Q3-G3)*5</f>
        <v>300</v>
      </c>
    </row>
    <row r="4" spans="1:18" s="35" customFormat="1" ht="15">
      <c r="A4" s="30">
        <v>2</v>
      </c>
      <c r="B4" s="31" t="str">
        <f>IF(Berechnung!B4="","",Berechnung!B4)</f>
        <v>Jonas</v>
      </c>
      <c r="C4" s="31" t="str">
        <f>IF(Berechnung!C4="","",Berechnung!C4)</f>
        <v>Kretschmer</v>
      </c>
      <c r="D4" s="56">
        <v>67</v>
      </c>
      <c r="E4" s="105">
        <v>67</v>
      </c>
      <c r="F4" s="106">
        <v>67</v>
      </c>
      <c r="G4" s="32"/>
      <c r="H4" s="33">
        <f>IF((D4-E4)&lt;0,(D4-E4)*-1,D4-E4)</f>
        <v>0</v>
      </c>
      <c r="I4" s="33">
        <f>AVERAGE(D4:E4)</f>
        <v>67</v>
      </c>
      <c r="J4" s="33">
        <f>IF((E4-F4)&lt;0,(E4-F4)*-1,E4-F4)</f>
        <v>0</v>
      </c>
      <c r="K4" s="33">
        <f>AVERAGE(E4:F4)</f>
        <v>67</v>
      </c>
      <c r="L4" s="33">
        <f>IF((D4-F4)&lt;0,(D4-F4)*-1,D4-F4)</f>
        <v>0</v>
      </c>
      <c r="M4" s="33">
        <f>AVERAGE(F4,D4)</f>
        <v>67</v>
      </c>
      <c r="N4" s="33">
        <f>MIN(H4,J4,L4)</f>
        <v>0</v>
      </c>
      <c r="O4" s="33">
        <f>IF(OR(H4=N4),I4,IF(OR(J4=N4),K4,M4))</f>
        <v>67</v>
      </c>
      <c r="P4" s="33">
        <f>MAX(I4,K4,M4)</f>
        <v>67</v>
      </c>
      <c r="Q4" s="33">
        <f>IF(OR(H4=0,J4=0,L4=0),O4,IF(OR(H4=J4,J4=L4,H4=L4),P4,O4))</f>
        <v>67</v>
      </c>
      <c r="R4" s="34">
        <f>(Q4-G4)*5</f>
        <v>335</v>
      </c>
    </row>
    <row r="5" spans="4:17" ht="15">
      <c r="D5" s="36"/>
      <c r="E5" s="36"/>
      <c r="F5" s="36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4:17" ht="15">
      <c r="D6" s="36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4:17" ht="15"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4:17" ht="15"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4:17" ht="15"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4:17" ht="15"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4:17" ht="15"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4:17" ht="15"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4:17" ht="15"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4:17" ht="15"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4:17" ht="15"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4:17" ht="15"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4:17" ht="15"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4:17" ht="15"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4:17" ht="15"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4:17" ht="15"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4:17" ht="15"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4:17" ht="15"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4:17" ht="15">
      <c r="D23" s="36"/>
      <c r="E23" s="36"/>
      <c r="F23" s="36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4:17" ht="15"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4:17" ht="15">
      <c r="D25" s="36"/>
      <c r="E25" s="36"/>
      <c r="F25" s="36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4:17" ht="15"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4:17" ht="15">
      <c r="D27" s="36"/>
      <c r="E27" s="36"/>
      <c r="F27" s="36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4:17" ht="15"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4:17" ht="15"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4:17" ht="15">
      <c r="D30" s="36"/>
      <c r="E30" s="36"/>
      <c r="F30" s="36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4:17" ht="15"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8:17" ht="15"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8:17" ht="15"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8:17" ht="15"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8:17" ht="15"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8:17" ht="15"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8:17" ht="15"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8:17" ht="15"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8:17" ht="15"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8:17" ht="15"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8:17" ht="15"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8:17" ht="15"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8:17" ht="15"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8:17" ht="15"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8:17" ht="15"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8:17" ht="15"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8:17" ht="15"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8:17" ht="15"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8:17" ht="15"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8:17" ht="15"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8:17" ht="15"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8:17" ht="15"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8:17" ht="15"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8:17" ht="15"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8:17" ht="15"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8:17" ht="15"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8:17" ht="15"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8:17" ht="15"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8:17" ht="15"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8:17" ht="15"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8:17" ht="15"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8:17" ht="15"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8:17" ht="15"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8:17" ht="15"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8:17" ht="15"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8:17" ht="15"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8:17" ht="15"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8:17" ht="15"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8:17" ht="15"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8:17" ht="15"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8:17" ht="15"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8:17" ht="15"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8:17" ht="15"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8:17" ht="15"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8:17" ht="15"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8:17" ht="15"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8:17" ht="15"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8:17" ht="15"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8:17" ht="15"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8:17" ht="15"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8:17" ht="15"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8:17" ht="15"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8:17" ht="15"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8:17" ht="15"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8:17" ht="15"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8:17" ht="15"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8:17" ht="15"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8:17" ht="15"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8:17" ht="15"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8:17" ht="15"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8:17" ht="15"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8:17" ht="15"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8:17" ht="15"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8:17" ht="15"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8:17" ht="15"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8:17" ht="15"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8:17" ht="15"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8:17" ht="15"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8:17" ht="15"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8:17" ht="15"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8:17" ht="15"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8:17" ht="15"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8:17" ht="15"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8:17" ht="15"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8:17" ht="15"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8:17" ht="15"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8:17" ht="15"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8:17" ht="15"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8:17" ht="15"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8:17" ht="15"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8:17" ht="15"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8:17" ht="15"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8:17" ht="15"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8:17" ht="15"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8:17" ht="15"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8:17" ht="15"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8:17" ht="15"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8:17" ht="15"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8:17" ht="15"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8:17" ht="15"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8:17" ht="15"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8:17" ht="15"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8:17" ht="15"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8:17" ht="15"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8:17" ht="15"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8:17" ht="15"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8:17" ht="15"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8:17" ht="15"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8:17" ht="15"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</sheetData>
  <sheetProtection/>
  <protectedRanges>
    <protectedRange sqref="G3:G4" name="Speed 30 sec"/>
    <protectedRange password="CF7A" sqref="D3:F4" name="Speed 30 sec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R129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3.57421875" style="15" bestFit="1" customWidth="1"/>
    <col min="2" max="3" width="11.421875" style="16" customWidth="1"/>
    <col min="4" max="7" width="7.57421875" style="38" customWidth="1"/>
    <col min="8" max="8" width="6.28125" style="36" bestFit="1" customWidth="1"/>
    <col min="9" max="9" width="7.8515625" style="36" bestFit="1" customWidth="1"/>
    <col min="10" max="10" width="6.28125" style="36" bestFit="1" customWidth="1"/>
    <col min="11" max="11" width="7.8515625" style="36" bestFit="1" customWidth="1"/>
    <col min="12" max="12" width="6.28125" style="36" bestFit="1" customWidth="1"/>
    <col min="13" max="13" width="7.8515625" style="36" bestFit="1" customWidth="1"/>
    <col min="14" max="14" width="8.8515625" style="36" bestFit="1" customWidth="1"/>
    <col min="15" max="15" width="7.8515625" style="36" bestFit="1" customWidth="1"/>
    <col min="16" max="16" width="9.421875" style="36" bestFit="1" customWidth="1"/>
    <col min="17" max="17" width="7.8515625" style="36" bestFit="1" customWidth="1"/>
    <col min="18" max="18" width="10.140625" style="22" bestFit="1" customWidth="1"/>
    <col min="19" max="16384" width="11.421875" style="16" customWidth="1"/>
  </cols>
  <sheetData>
    <row r="1" spans="4:17" ht="15">
      <c r="D1" s="17"/>
      <c r="E1" s="18"/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5">
      <c r="A2" s="23" t="s">
        <v>4</v>
      </c>
      <c r="B2" s="24" t="s">
        <v>5</v>
      </c>
      <c r="C2" s="24" t="s">
        <v>6</v>
      </c>
      <c r="D2" s="25" t="s">
        <v>14</v>
      </c>
      <c r="E2" s="26" t="s">
        <v>15</v>
      </c>
      <c r="F2" s="27" t="s">
        <v>16</v>
      </c>
      <c r="G2" s="28" t="s">
        <v>13</v>
      </c>
      <c r="H2" s="29" t="s">
        <v>57</v>
      </c>
      <c r="I2" s="29" t="s">
        <v>17</v>
      </c>
      <c r="J2" s="29" t="s">
        <v>58</v>
      </c>
      <c r="K2" s="29" t="s">
        <v>18</v>
      </c>
      <c r="L2" s="29" t="s">
        <v>59</v>
      </c>
      <c r="M2" s="29" t="s">
        <v>19</v>
      </c>
      <c r="N2" s="29" t="s">
        <v>20</v>
      </c>
      <c r="O2" s="29" t="s">
        <v>9</v>
      </c>
      <c r="P2" s="29" t="s">
        <v>21</v>
      </c>
      <c r="Q2" s="29" t="s">
        <v>9</v>
      </c>
      <c r="R2" s="29" t="s">
        <v>10</v>
      </c>
    </row>
    <row r="3" spans="1:18" s="35" customFormat="1" ht="15">
      <c r="A3" s="30">
        <v>1</v>
      </c>
      <c r="B3" s="31" t="str">
        <f>IF(Berechnung!B3="","",Berechnung!B3)</f>
        <v>Marcel</v>
      </c>
      <c r="C3" s="31" t="str">
        <f>IF(Berechnung!C3="","",Berechnung!C3)</f>
        <v>Friedl</v>
      </c>
      <c r="D3" s="56">
        <v>320</v>
      </c>
      <c r="E3" s="105">
        <v>320</v>
      </c>
      <c r="F3" s="106">
        <v>320</v>
      </c>
      <c r="G3" s="32"/>
      <c r="H3" s="33">
        <f>IF((D3-E3)&lt;0,(D3-E3)*-1,D3-E3)</f>
        <v>0</v>
      </c>
      <c r="I3" s="33">
        <f>AVERAGE(D3:E3)</f>
        <v>320</v>
      </c>
      <c r="J3" s="33">
        <f>IF((E3-F3)&lt;0,(E3-F3)*-1,E3-F3)</f>
        <v>0</v>
      </c>
      <c r="K3" s="33">
        <f>AVERAGE(E3:F3)</f>
        <v>320</v>
      </c>
      <c r="L3" s="33">
        <f>IF((D3-F3)&lt;0,(D3-F3)*-1,D3-F3)</f>
        <v>0</v>
      </c>
      <c r="M3" s="33">
        <f>AVERAGE(F3,D3)</f>
        <v>320</v>
      </c>
      <c r="N3" s="33">
        <f>MIN(H3,J3,L3)</f>
        <v>0</v>
      </c>
      <c r="O3" s="33">
        <f>IF(OR(H3=N3),I3,IF(OR(J3=N3),K3,M3))</f>
        <v>320</v>
      </c>
      <c r="P3" s="33">
        <f>MAX(I3,K3,M3)</f>
        <v>320</v>
      </c>
      <c r="Q3" s="33">
        <f>IF(OR(H3=0,J3=0,L3=0),O3,IF(OR(H3=J3,J3=L3,H3=L3),P3,O3))</f>
        <v>320</v>
      </c>
      <c r="R3" s="34">
        <f>(Q3-G3)</f>
        <v>320</v>
      </c>
    </row>
    <row r="4" spans="1:18" s="35" customFormat="1" ht="15">
      <c r="A4" s="30">
        <v>2</v>
      </c>
      <c r="B4" s="31" t="str">
        <f>IF(Berechnung!B4="","",Berechnung!B4)</f>
        <v>Jonas</v>
      </c>
      <c r="C4" s="31" t="str">
        <f>IF(Berechnung!C4="","",Berechnung!C4)</f>
        <v>Kretschmer</v>
      </c>
      <c r="D4" s="56">
        <v>305</v>
      </c>
      <c r="E4" s="105">
        <v>305</v>
      </c>
      <c r="F4" s="106">
        <v>305</v>
      </c>
      <c r="G4" s="32"/>
      <c r="H4" s="33">
        <f>IF((D4-E4)&lt;0,(D4-E4)*-1,D4-E4)</f>
        <v>0</v>
      </c>
      <c r="I4" s="33">
        <f>AVERAGE(D4:E4)</f>
        <v>305</v>
      </c>
      <c r="J4" s="33">
        <f>IF((E4-F4)&lt;0,(E4-F4)*-1,E4-F4)</f>
        <v>0</v>
      </c>
      <c r="K4" s="33">
        <f>AVERAGE(E4:F4)</f>
        <v>305</v>
      </c>
      <c r="L4" s="33">
        <f>IF((D4-F4)&lt;0,(D4-F4)*-1,D4-F4)</f>
        <v>0</v>
      </c>
      <c r="M4" s="33">
        <f>AVERAGE(F4,D4)</f>
        <v>305</v>
      </c>
      <c r="N4" s="33">
        <f>MIN(H4,J4,L4)</f>
        <v>0</v>
      </c>
      <c r="O4" s="33">
        <f>IF(OR(H4=N4),I4,IF(OR(J4=N4),K4,M4))</f>
        <v>305</v>
      </c>
      <c r="P4" s="33">
        <f>MAX(I4,K4,M4)</f>
        <v>305</v>
      </c>
      <c r="Q4" s="33">
        <f>IF(OR(H4=0,J4=0,L4=0),O4,IF(OR(H4=J4,J4=L4,H4=L4),P4,O4))</f>
        <v>305</v>
      </c>
      <c r="R4" s="34">
        <f>(Q4-G4)</f>
        <v>305</v>
      </c>
    </row>
    <row r="5" spans="8:17" ht="15"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8:17" ht="15"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8:17" ht="15"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8:17" ht="15"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8:17" ht="15"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8:17" ht="15"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8:17" ht="15"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8:17" ht="15"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8:17" ht="15"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8:17" ht="15"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8:17" ht="15"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8:17" ht="15"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8:17" ht="15"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8:17" ht="15"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8:17" ht="15"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8:17" ht="15"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8:17" ht="15"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8:17" ht="15"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8:17" ht="15"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8:17" ht="15"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8:17" ht="15"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8:17" ht="15"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8:17" ht="15"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8:17" ht="15"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8:17" ht="15"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8:17" ht="15"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8:17" ht="15"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8:17" ht="15"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8:17" ht="15"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8:17" ht="15"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8:17" ht="15"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8:17" ht="15"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8:17" ht="15"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8:17" ht="15"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8:17" ht="15"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8:17" ht="15"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8:17" ht="15"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8:17" ht="15"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8:17" ht="15"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8:17" ht="15"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8:17" ht="15"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8:17" ht="15"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8:17" ht="15"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8:17" ht="15"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8:17" ht="15"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8:17" ht="15"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8:17" ht="15"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8:17" ht="15"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8:17" ht="15"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8:17" ht="15"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8:17" ht="15"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8:17" ht="15"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8:17" ht="15"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8:17" ht="15"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8:17" ht="15"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8:17" ht="15"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8:17" ht="15"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8:17" ht="15"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8:17" ht="15"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8:17" ht="15"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8:17" ht="15"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8:17" ht="15"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8:17" ht="15"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8:17" ht="15"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8:17" ht="15"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8:17" ht="15"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8:17" ht="15"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8:17" ht="15"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8:17" ht="15"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8:17" ht="15"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8:17" ht="15"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8:17" ht="15"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8:17" ht="15"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8:17" ht="15"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8:17" ht="15"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8:17" ht="15"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8:17" ht="15"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8:17" ht="15"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8:17" ht="15"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8:17" ht="15"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8:17" ht="15"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8:17" ht="15"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8:17" ht="15"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8:17" ht="15"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8:17" ht="15"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8:17" ht="15"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8:17" ht="15"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8:17" ht="15"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8:17" ht="15"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8:17" ht="15"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8:17" ht="15"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8:17" ht="15"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8:17" ht="15"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8:17" ht="15"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8:17" ht="15"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8:17" ht="15"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8:17" ht="15"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8:17" ht="15"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8:17" ht="15"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8:17" ht="15"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8:17" ht="15"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8:17" ht="15"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8:17" ht="15"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8:17" ht="15"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8:17" ht="15"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8:17" ht="15"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8:17" ht="15"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8:17" ht="15"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8:17" ht="15"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8:17" ht="15"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8:17" ht="15"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8:17" ht="15"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8:17" ht="15"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8:17" ht="15"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8:17" ht="15"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8:17" ht="15"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8:17" ht="15"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8:17" ht="15"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8:17" ht="15"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8:17" ht="15"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8:17" ht="15"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8:17" ht="15"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8:17" ht="15"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8:17" ht="15"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8:17" ht="15"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</sheetData>
  <sheetProtection/>
  <protectedRanges>
    <protectedRange sqref="G3:G4" name="Speed 3 Min"/>
    <protectedRange password="CF7A" sqref="D3:F4" name="Speed 3 Min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12"/>
  <sheetViews>
    <sheetView zoomScalePageLayoutView="0" workbookViewId="0" topLeftCell="A1">
      <selection activeCell="K3" sqref="K3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7" width="3.421875" style="0" bestFit="1" customWidth="1"/>
    <col min="8" max="9" width="3.421875" style="0" customWidth="1"/>
    <col min="10" max="10" width="9.8515625" style="0" bestFit="1" customWidth="1"/>
    <col min="11" max="11" width="6.140625" style="0" bestFit="1" customWidth="1"/>
    <col min="12" max="12" width="7.28125" style="0" bestFit="1" customWidth="1"/>
    <col min="13" max="14" width="6.140625" style="0" bestFit="1" customWidth="1"/>
    <col min="15" max="16" width="3.421875" style="0" customWidth="1"/>
    <col min="17" max="17" width="9.8515625" style="0" customWidth="1"/>
    <col min="18" max="18" width="11.140625" style="0" bestFit="1" customWidth="1"/>
    <col min="19" max="19" width="10.140625" style="0" bestFit="1" customWidth="1"/>
    <col min="20" max="20" width="18.57421875" style="0" bestFit="1" customWidth="1"/>
  </cols>
  <sheetData>
    <row r="1" spans="1:22" ht="15">
      <c r="A1" s="40"/>
      <c r="B1" s="41"/>
      <c r="C1" s="41"/>
      <c r="D1" s="122" t="s">
        <v>22</v>
      </c>
      <c r="E1" s="122"/>
      <c r="F1" s="122"/>
      <c r="G1" s="122"/>
      <c r="H1" s="122"/>
      <c r="I1" s="122"/>
      <c r="J1" s="122"/>
      <c r="K1" s="123" t="s">
        <v>23</v>
      </c>
      <c r="L1" s="123"/>
      <c r="M1" s="123"/>
      <c r="N1" s="123"/>
      <c r="O1" s="123"/>
      <c r="P1" s="123"/>
      <c r="Q1" s="123"/>
      <c r="R1" s="42"/>
      <c r="S1" s="43"/>
      <c r="T1" s="43"/>
      <c r="U1" s="44"/>
      <c r="V1" s="45"/>
    </row>
    <row r="2" spans="1:22" ht="15">
      <c r="A2" s="46" t="s">
        <v>4</v>
      </c>
      <c r="B2" s="47" t="s">
        <v>5</v>
      </c>
      <c r="C2" s="47" t="s">
        <v>6</v>
      </c>
      <c r="D2" s="48" t="s">
        <v>24</v>
      </c>
      <c r="E2" s="48" t="s">
        <v>25</v>
      </c>
      <c r="F2" s="48" t="s">
        <v>26</v>
      </c>
      <c r="G2" s="48" t="s">
        <v>27</v>
      </c>
      <c r="H2" s="48" t="s">
        <v>71</v>
      </c>
      <c r="I2" s="48" t="s">
        <v>72</v>
      </c>
      <c r="J2" s="49" t="s">
        <v>28</v>
      </c>
      <c r="K2" s="50" t="s">
        <v>24</v>
      </c>
      <c r="L2" s="50" t="s">
        <v>25</v>
      </c>
      <c r="M2" s="50" t="s">
        <v>26</v>
      </c>
      <c r="N2" s="50" t="s">
        <v>27</v>
      </c>
      <c r="O2" s="50" t="s">
        <v>71</v>
      </c>
      <c r="P2" s="50" t="s">
        <v>72</v>
      </c>
      <c r="Q2" s="51" t="s">
        <v>28</v>
      </c>
      <c r="R2" s="52" t="s">
        <v>29</v>
      </c>
      <c r="S2" s="53" t="s">
        <v>10</v>
      </c>
      <c r="T2" s="54" t="s">
        <v>30</v>
      </c>
      <c r="U2" s="44"/>
      <c r="V2" s="44" t="s">
        <v>28</v>
      </c>
    </row>
    <row r="3" spans="1:22" ht="15">
      <c r="A3" s="55">
        <v>1</v>
      </c>
      <c r="B3" s="31" t="str">
        <f>IF(Berechnung!B3="","",Berechnung!B3)</f>
        <v>Marcel</v>
      </c>
      <c r="C3" s="31" t="str">
        <f>IF(Berechnung!C3="","",Berechnung!C3)</f>
        <v>Friedl</v>
      </c>
      <c r="D3" s="56">
        <v>1</v>
      </c>
      <c r="E3" s="56">
        <v>15</v>
      </c>
      <c r="F3" s="56">
        <v>6</v>
      </c>
      <c r="G3" s="56">
        <v>4</v>
      </c>
      <c r="H3" s="56">
        <v>0</v>
      </c>
      <c r="I3" s="56">
        <v>0</v>
      </c>
      <c r="J3" s="57">
        <f>(D3*$V$3)+(E3*$V$4)+(F3*$V$5)+(G3*$V$6)+(H3*$V$7)+(I3*$V$8)</f>
        <v>30.08</v>
      </c>
      <c r="K3" s="116">
        <v>1</v>
      </c>
      <c r="L3" s="116">
        <v>15</v>
      </c>
      <c r="M3" s="116">
        <v>5</v>
      </c>
      <c r="N3" s="116">
        <v>4</v>
      </c>
      <c r="O3" s="116">
        <v>0</v>
      </c>
      <c r="P3" s="116">
        <v>0</v>
      </c>
      <c r="Q3" s="58">
        <f>(K3*$V$3)+(L3*$V$4)+(M3*$V$5)+(N3*$V$6)+(O3*$V$7)+(P3*$V$8)</f>
        <v>28.75</v>
      </c>
      <c r="R3" s="59">
        <f>AVERAGE(Q3,J3)</f>
        <v>29.415</v>
      </c>
      <c r="S3" s="60">
        <f>R3*2.5</f>
        <v>73.5375</v>
      </c>
      <c r="T3" s="61">
        <f>ABS(J3-Q3)</f>
        <v>1.3299999999999983</v>
      </c>
      <c r="U3" s="44" t="s">
        <v>31</v>
      </c>
      <c r="V3" s="45">
        <v>0.75</v>
      </c>
    </row>
    <row r="4" spans="1:22" ht="15">
      <c r="A4" s="55">
        <v>2</v>
      </c>
      <c r="B4" s="31" t="str">
        <f>IF(Berechnung!B4="","",Berechnung!B4)</f>
        <v>Jonas</v>
      </c>
      <c r="C4" s="31" t="str">
        <f>IF(Berechnung!C4="","",Berechnung!C4)</f>
        <v>Kretschmer</v>
      </c>
      <c r="D4" s="56">
        <v>5</v>
      </c>
      <c r="E4" s="56">
        <v>13</v>
      </c>
      <c r="F4" s="56">
        <v>4</v>
      </c>
      <c r="G4" s="56">
        <v>0</v>
      </c>
      <c r="H4" s="56">
        <v>0</v>
      </c>
      <c r="I4" s="56">
        <v>0</v>
      </c>
      <c r="J4" s="57">
        <f>(D4*$V$3)+(E4*$V$4)+(F4*$V$5)+(G4*$V$6)+(H4*$V$7)+(I4*$V$8)</f>
        <v>20.64</v>
      </c>
      <c r="K4" s="116">
        <v>6</v>
      </c>
      <c r="L4" s="116">
        <v>12</v>
      </c>
      <c r="M4" s="116">
        <v>4</v>
      </c>
      <c r="N4" s="116">
        <v>0</v>
      </c>
      <c r="O4" s="116">
        <v>0</v>
      </c>
      <c r="P4" s="116">
        <v>0</v>
      </c>
      <c r="Q4" s="58">
        <f>(K4*$V$3)+(L4*$V$4)+(M4*$V$5)+(N4*$V$6)+(O4*$V$7)+(P4*$V$8)</f>
        <v>20.5</v>
      </c>
      <c r="R4" s="59">
        <f>AVERAGE(Q4,J4)</f>
        <v>20.57</v>
      </c>
      <c r="S4" s="60">
        <f>R4*2.5</f>
        <v>51.425</v>
      </c>
      <c r="T4" s="61">
        <f>ABS(J4-Q4)</f>
        <v>0.14000000000000057</v>
      </c>
      <c r="U4" s="44" t="s">
        <v>32</v>
      </c>
      <c r="V4" s="45">
        <v>0.89</v>
      </c>
    </row>
    <row r="5" spans="21:22" ht="15">
      <c r="U5" s="44" t="s">
        <v>95</v>
      </c>
      <c r="V5" s="45">
        <v>1.33</v>
      </c>
    </row>
    <row r="6" spans="21:22" ht="15">
      <c r="U6" s="44" t="s">
        <v>96</v>
      </c>
      <c r="V6" s="45">
        <v>2</v>
      </c>
    </row>
    <row r="7" spans="21:22" ht="15">
      <c r="U7" s="44" t="s">
        <v>97</v>
      </c>
      <c r="V7" s="45">
        <v>3</v>
      </c>
    </row>
    <row r="8" spans="21:22" ht="15">
      <c r="U8" s="44" t="s">
        <v>98</v>
      </c>
      <c r="V8" s="45">
        <v>4.5</v>
      </c>
    </row>
    <row r="12" spans="4:22" ht="15">
      <c r="D12" s="88" t="s">
        <v>55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</sheetData>
  <sheetProtection/>
  <protectedRanges>
    <protectedRange sqref="H3:I4 O3:P4" name="Diffculty"/>
    <protectedRange password="CF7A" sqref="D3:G4" name="Diffculty_1"/>
    <protectedRange password="CF7A" sqref="K3:N4" name="Diffculty_2"/>
  </protectedRanges>
  <mergeCells count="2">
    <mergeCell ref="D1:J1"/>
    <mergeCell ref="K1:Q1"/>
  </mergeCells>
  <conditionalFormatting sqref="A3:T4">
    <cfRule type="expression" priority="1" dxfId="10">
      <formula>$T3&gt;7.999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8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4.00390625" style="0" bestFit="1" customWidth="1"/>
    <col min="2" max="2" width="12.8515625" style="0" bestFit="1" customWidth="1"/>
    <col min="3" max="3" width="11.00390625" style="0" bestFit="1" customWidth="1"/>
    <col min="4" max="4" width="6.28125" style="0" customWidth="1"/>
    <col min="5" max="5" width="9.140625" style="0" bestFit="1" customWidth="1"/>
    <col min="6" max="6" width="11.8515625" style="0" bestFit="1" customWidth="1"/>
    <col min="7" max="7" width="6.00390625" style="0" bestFit="1" customWidth="1"/>
    <col min="8" max="8" width="14.57421875" style="0" bestFit="1" customWidth="1"/>
    <col min="9" max="9" width="8.7109375" style="0" customWidth="1"/>
    <col min="10" max="10" width="6.57421875" style="0" customWidth="1"/>
    <col min="11" max="11" width="9.140625" style="0" bestFit="1" customWidth="1"/>
    <col min="12" max="12" width="11.8515625" style="0" bestFit="1" customWidth="1"/>
    <col min="13" max="13" width="6.00390625" style="0" bestFit="1" customWidth="1"/>
    <col min="14" max="14" width="14.57421875" style="0" bestFit="1" customWidth="1"/>
    <col min="15" max="15" width="7.8515625" style="0" customWidth="1"/>
    <col min="16" max="16" width="13.421875" style="0" customWidth="1"/>
    <col min="17" max="17" width="10.8515625" style="0" bestFit="1" customWidth="1"/>
  </cols>
  <sheetData>
    <row r="1" spans="1:17" ht="15">
      <c r="A1" s="40"/>
      <c r="B1" s="41"/>
      <c r="C1" s="41"/>
      <c r="D1" s="122" t="s">
        <v>75</v>
      </c>
      <c r="E1" s="122"/>
      <c r="F1" s="122"/>
      <c r="G1" s="122"/>
      <c r="H1" s="122"/>
      <c r="I1" s="122"/>
      <c r="J1" s="124" t="s">
        <v>76</v>
      </c>
      <c r="K1" s="124"/>
      <c r="L1" s="124"/>
      <c r="M1" s="124"/>
      <c r="N1" s="124"/>
      <c r="O1" s="124"/>
      <c r="P1" s="42"/>
      <c r="Q1" s="45"/>
    </row>
    <row r="2" spans="1:17" ht="15">
      <c r="A2" s="46" t="s">
        <v>4</v>
      </c>
      <c r="B2" s="47" t="s">
        <v>5</v>
      </c>
      <c r="C2" s="47" t="s">
        <v>6</v>
      </c>
      <c r="D2" s="62" t="s">
        <v>33</v>
      </c>
      <c r="E2" s="62" t="s">
        <v>34</v>
      </c>
      <c r="F2" s="62" t="s">
        <v>73</v>
      </c>
      <c r="G2" s="62" t="s">
        <v>80</v>
      </c>
      <c r="H2" s="48" t="s">
        <v>79</v>
      </c>
      <c r="I2" s="49" t="s">
        <v>35</v>
      </c>
      <c r="J2" s="63" t="s">
        <v>33</v>
      </c>
      <c r="K2" s="63" t="s">
        <v>34</v>
      </c>
      <c r="L2" s="63" t="s">
        <v>73</v>
      </c>
      <c r="M2" s="63" t="s">
        <v>80</v>
      </c>
      <c r="N2" s="63" t="s">
        <v>79</v>
      </c>
      <c r="O2" s="64" t="s">
        <v>35</v>
      </c>
      <c r="P2" s="52" t="s">
        <v>10</v>
      </c>
      <c r="Q2" s="44" t="s">
        <v>36</v>
      </c>
    </row>
    <row r="3" spans="1:17" ht="15">
      <c r="A3" s="55">
        <v>1</v>
      </c>
      <c r="B3" s="31" t="str">
        <f>IF(Berechnung!B3="","",Berechnung!B3)</f>
        <v>Marcel</v>
      </c>
      <c r="C3" s="31" t="str">
        <f>IF(Berechnung!C3="","",Berechnung!C3)</f>
        <v>Friedl</v>
      </c>
      <c r="D3" s="56">
        <v>3</v>
      </c>
      <c r="E3" s="56">
        <v>2</v>
      </c>
      <c r="F3" s="56">
        <v>5</v>
      </c>
      <c r="G3" s="56">
        <v>3.5</v>
      </c>
      <c r="H3" s="56">
        <v>4.5</v>
      </c>
      <c r="I3" s="97">
        <f>(SUM((D3*0.75)+(E3*0.75)+(F3*0.5)+G3+H3))*5</f>
        <v>71.25</v>
      </c>
      <c r="J3" s="66">
        <v>3</v>
      </c>
      <c r="K3" s="66">
        <v>3</v>
      </c>
      <c r="L3" s="66">
        <v>5.5</v>
      </c>
      <c r="M3" s="66">
        <v>3</v>
      </c>
      <c r="N3" s="66">
        <v>2</v>
      </c>
      <c r="O3" s="64">
        <f>(SUM((J3*0.75)+(K3*0.75)+(L3*0.5)+M3+N3))*5</f>
        <v>61.25</v>
      </c>
      <c r="P3" s="59">
        <f>AVERAGE(O3,I3)</f>
        <v>66.25</v>
      </c>
      <c r="Q3" s="45">
        <f>ABS(I3-O3)</f>
        <v>10</v>
      </c>
    </row>
    <row r="4" spans="1:17" ht="15">
      <c r="A4" s="55">
        <v>2</v>
      </c>
      <c r="B4" s="31" t="str">
        <f>IF(Berechnung!B4="","",Berechnung!B4)</f>
        <v>Jonas</v>
      </c>
      <c r="C4" s="31" t="str">
        <f>IF(Berechnung!C4="","",Berechnung!C4)</f>
        <v>Kretschmer</v>
      </c>
      <c r="D4" s="56">
        <v>5.5</v>
      </c>
      <c r="E4" s="56">
        <v>3</v>
      </c>
      <c r="F4" s="56">
        <v>6</v>
      </c>
      <c r="G4" s="56">
        <v>4</v>
      </c>
      <c r="H4" s="56">
        <v>5.5</v>
      </c>
      <c r="I4" s="97">
        <f>(SUM((D4*0.75)+(E4*0.75)+(F4*0.5)+G4+H4))*5</f>
        <v>94.375</v>
      </c>
      <c r="J4" s="66">
        <v>5</v>
      </c>
      <c r="K4" s="66">
        <v>3</v>
      </c>
      <c r="L4" s="66">
        <v>5</v>
      </c>
      <c r="M4" s="66">
        <v>3</v>
      </c>
      <c r="N4" s="66">
        <v>2.5</v>
      </c>
      <c r="O4" s="64">
        <f>(SUM((J4*0.75)+(K4*0.75)+(L4*0.5)+M4+N4))*5</f>
        <v>70</v>
      </c>
      <c r="P4" s="59">
        <f>AVERAGE(O4,I4)</f>
        <v>82.1875</v>
      </c>
      <c r="Q4" s="45">
        <f>ABS(I4-O4)</f>
        <v>24.375</v>
      </c>
    </row>
    <row r="6" spans="4:17" ht="15">
      <c r="D6" s="88" t="s">
        <v>55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8" ht="18.75">
      <c r="D8" s="95" t="s">
        <v>74</v>
      </c>
    </row>
  </sheetData>
  <sheetProtection/>
  <protectedRanges>
    <protectedRange password="CF7A" sqref="D3:H4" name="P1_1"/>
    <protectedRange password="CF7A" sqref="J3:N4" name="P2_1"/>
  </protectedRanges>
  <mergeCells count="2">
    <mergeCell ref="D1:I1"/>
    <mergeCell ref="J1:O1"/>
  </mergeCells>
  <conditionalFormatting sqref="P3:Q4 A3:N4">
    <cfRule type="expression" priority="65" dxfId="20">
      <formula>Q3&gt;7.99999</formula>
    </cfRule>
    <cfRule type="expression" priority="66" dxfId="21">
      <formula>#REF!&gt;7.9999</formula>
    </cfRule>
    <cfRule type="expression" priority="67" dxfId="20">
      <formula>$Q3&gt;7.99999</formula>
    </cfRule>
  </conditionalFormatting>
  <conditionalFormatting sqref="D3:H4 J3:N4">
    <cfRule type="expression" priority="13" dxfId="21">
      <formula>$AL3&gt;7.99999</formula>
    </cfRule>
    <cfRule type="expression" priority="14" dxfId="21">
      <formula>$AK3&gt;7.9999</formula>
    </cfRule>
    <cfRule type="expression" priority="15" dxfId="21">
      <formula>$AJ3&gt;7.99999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N9"/>
  <sheetViews>
    <sheetView zoomScalePageLayoutView="0" workbookViewId="0" topLeftCell="A1">
      <selection activeCell="AG4" sqref="AG4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4" width="2.8515625" style="0" bestFit="1" customWidth="1"/>
    <col min="5" max="5" width="2.57421875" style="0" bestFit="1" customWidth="1"/>
    <col min="6" max="6" width="2.421875" style="0" bestFit="1" customWidth="1"/>
    <col min="7" max="7" width="2.7109375" style="0" bestFit="1" customWidth="1"/>
    <col min="8" max="8" width="2.57421875" style="0" bestFit="1" customWidth="1"/>
    <col min="9" max="9" width="2.8515625" style="0" bestFit="1" customWidth="1"/>
    <col min="10" max="11" width="3.421875" style="0" customWidth="1"/>
    <col min="12" max="12" width="12.140625" style="0" customWidth="1"/>
    <col min="13" max="13" width="2.8515625" style="0" bestFit="1" customWidth="1"/>
    <col min="14" max="14" width="2.57421875" style="0" bestFit="1" customWidth="1"/>
    <col min="15" max="15" width="2.421875" style="0" bestFit="1" customWidth="1"/>
    <col min="16" max="16" width="2.7109375" style="0" bestFit="1" customWidth="1"/>
    <col min="17" max="17" width="2.57421875" style="0" bestFit="1" customWidth="1"/>
    <col min="18" max="18" width="2.8515625" style="0" bestFit="1" customWidth="1"/>
    <col min="19" max="19" width="3.421875" style="0" customWidth="1"/>
    <col min="20" max="20" width="3.7109375" style="0" customWidth="1"/>
    <col min="21" max="21" width="13.7109375" style="0" customWidth="1"/>
    <col min="22" max="29" width="3.57421875" style="0" customWidth="1"/>
    <col min="30" max="30" width="13.7109375" style="0" customWidth="1"/>
    <col min="31" max="32" width="4.00390625" style="0" customWidth="1"/>
    <col min="33" max="33" width="12.00390625" style="0" customWidth="1"/>
    <col min="34" max="35" width="13.28125" style="103" customWidth="1"/>
    <col min="36" max="36" width="10.140625" style="0" bestFit="1" customWidth="1"/>
    <col min="37" max="37" width="16.00390625" style="0" customWidth="1"/>
    <col min="38" max="38" width="11.8515625" style="0" customWidth="1"/>
  </cols>
  <sheetData>
    <row r="1" spans="1:38" ht="15">
      <c r="A1" s="40"/>
      <c r="B1" s="41"/>
      <c r="C1" s="41"/>
      <c r="D1" s="122" t="s">
        <v>63</v>
      </c>
      <c r="E1" s="122"/>
      <c r="F1" s="122"/>
      <c r="G1" s="122"/>
      <c r="H1" s="122"/>
      <c r="I1" s="122"/>
      <c r="J1" s="122"/>
      <c r="K1" s="122"/>
      <c r="L1" s="122"/>
      <c r="M1" s="125" t="s">
        <v>64</v>
      </c>
      <c r="N1" s="125"/>
      <c r="O1" s="125"/>
      <c r="P1" s="125"/>
      <c r="Q1" s="125"/>
      <c r="R1" s="125"/>
      <c r="S1" s="125"/>
      <c r="T1" s="125"/>
      <c r="U1" s="125"/>
      <c r="V1" s="126" t="s">
        <v>84</v>
      </c>
      <c r="W1" s="126"/>
      <c r="X1" s="126"/>
      <c r="Y1" s="126"/>
      <c r="Z1" s="126"/>
      <c r="AA1" s="126"/>
      <c r="AB1" s="126"/>
      <c r="AC1" s="126"/>
      <c r="AD1" s="126"/>
      <c r="AE1" s="127" t="s">
        <v>85</v>
      </c>
      <c r="AF1" s="127"/>
      <c r="AG1" s="41"/>
      <c r="AH1" s="101"/>
      <c r="AI1" s="101"/>
      <c r="AJ1" s="41"/>
      <c r="AK1" s="41"/>
      <c r="AL1" s="41"/>
    </row>
    <row r="2" spans="1:40" ht="15">
      <c r="A2" s="46" t="s">
        <v>4</v>
      </c>
      <c r="B2" s="47" t="s">
        <v>5</v>
      </c>
      <c r="C2" s="47" t="s">
        <v>6</v>
      </c>
      <c r="D2" s="62" t="s">
        <v>38</v>
      </c>
      <c r="E2" s="62" t="s">
        <v>37</v>
      </c>
      <c r="F2" s="67" t="s">
        <v>40</v>
      </c>
      <c r="G2" s="62" t="s">
        <v>39</v>
      </c>
      <c r="H2" s="48" t="s">
        <v>61</v>
      </c>
      <c r="I2" s="48" t="s">
        <v>41</v>
      </c>
      <c r="J2" s="48" t="s">
        <v>65</v>
      </c>
      <c r="K2" s="48" t="s">
        <v>66</v>
      </c>
      <c r="L2" s="48" t="s">
        <v>68</v>
      </c>
      <c r="M2" s="64" t="s">
        <v>38</v>
      </c>
      <c r="N2" s="64" t="s">
        <v>37</v>
      </c>
      <c r="O2" s="64" t="s">
        <v>40</v>
      </c>
      <c r="P2" s="64" t="s">
        <v>39</v>
      </c>
      <c r="Q2" s="64" t="s">
        <v>61</v>
      </c>
      <c r="R2" s="64" t="s">
        <v>41</v>
      </c>
      <c r="S2" s="64" t="s">
        <v>65</v>
      </c>
      <c r="T2" s="64" t="s">
        <v>66</v>
      </c>
      <c r="U2" s="64" t="s">
        <v>69</v>
      </c>
      <c r="V2" s="99" t="s">
        <v>38</v>
      </c>
      <c r="W2" s="99" t="s">
        <v>37</v>
      </c>
      <c r="X2" s="99" t="s">
        <v>40</v>
      </c>
      <c r="Y2" s="99" t="s">
        <v>39</v>
      </c>
      <c r="Z2" s="99" t="s">
        <v>61</v>
      </c>
      <c r="AA2" s="99" t="s">
        <v>41</v>
      </c>
      <c r="AB2" s="99" t="s">
        <v>65</v>
      </c>
      <c r="AC2" s="99" t="s">
        <v>66</v>
      </c>
      <c r="AD2" s="99" t="s">
        <v>81</v>
      </c>
      <c r="AE2" s="98" t="s">
        <v>65</v>
      </c>
      <c r="AF2" s="98" t="s">
        <v>66</v>
      </c>
      <c r="AG2" s="68" t="s">
        <v>29</v>
      </c>
      <c r="AH2" s="69" t="s">
        <v>83</v>
      </c>
      <c r="AI2" s="69" t="s">
        <v>82</v>
      </c>
      <c r="AJ2" s="68" t="s">
        <v>10</v>
      </c>
      <c r="AK2" s="69" t="s">
        <v>70</v>
      </c>
      <c r="AL2" s="68" t="s">
        <v>67</v>
      </c>
      <c r="AM2" s="68" t="s">
        <v>93</v>
      </c>
      <c r="AN2" s="68" t="s">
        <v>94</v>
      </c>
    </row>
    <row r="3" spans="1:40" ht="15">
      <c r="A3" s="55">
        <v>1</v>
      </c>
      <c r="B3" s="31" t="str">
        <f>IF(Berechnung!B3="","",Berechnung!B3)</f>
        <v>Marcel</v>
      </c>
      <c r="C3" s="31" t="str">
        <f>IF(Berechnung!C3="","",Berechnung!C3)</f>
        <v>Friedl</v>
      </c>
      <c r="D3" s="65">
        <v>2</v>
      </c>
      <c r="E3" s="65">
        <v>1</v>
      </c>
      <c r="F3" s="65">
        <v>1</v>
      </c>
      <c r="G3" s="65">
        <v>2</v>
      </c>
      <c r="H3" s="56">
        <v>0</v>
      </c>
      <c r="I3" s="56">
        <v>2</v>
      </c>
      <c r="J3" s="56">
        <v>4</v>
      </c>
      <c r="K3" s="56">
        <v>1</v>
      </c>
      <c r="L3" s="70">
        <f>IF(SUM(D3:I3)&gt;12,12,SUM(D3:I3))</f>
        <v>8</v>
      </c>
      <c r="M3" s="107">
        <v>2</v>
      </c>
      <c r="N3" s="107">
        <v>1</v>
      </c>
      <c r="O3" s="107">
        <v>1</v>
      </c>
      <c r="P3" s="107">
        <v>1</v>
      </c>
      <c r="Q3" s="107">
        <v>0</v>
      </c>
      <c r="R3" s="107">
        <v>2</v>
      </c>
      <c r="S3" s="107">
        <v>4</v>
      </c>
      <c r="T3" s="107">
        <v>1</v>
      </c>
      <c r="U3" s="71">
        <f>IF(SUM(M3:R3)&gt;12,12,SUM(M3:R3))</f>
        <v>7</v>
      </c>
      <c r="V3" s="108">
        <v>2</v>
      </c>
      <c r="W3" s="108">
        <v>1</v>
      </c>
      <c r="X3" s="108">
        <v>1</v>
      </c>
      <c r="Y3" s="108">
        <v>1</v>
      </c>
      <c r="Z3" s="108">
        <v>0</v>
      </c>
      <c r="AA3" s="108">
        <v>2</v>
      </c>
      <c r="AB3" s="108">
        <v>4</v>
      </c>
      <c r="AC3" s="108">
        <v>1</v>
      </c>
      <c r="AD3" s="100">
        <f>IF(SUM(V3:AA3)&gt;12,12,SUM(V3:AA3))</f>
        <v>7</v>
      </c>
      <c r="AE3" s="109">
        <v>4</v>
      </c>
      <c r="AF3" s="109">
        <v>1</v>
      </c>
      <c r="AG3" s="72">
        <f>AVERAGE(L3,U3,AD3)</f>
        <v>7.333333333333333</v>
      </c>
      <c r="AH3" s="102">
        <f>AVERAGE(J3,S3,AB3,AE3)</f>
        <v>4</v>
      </c>
      <c r="AI3" s="102">
        <f>AVERAGE(K3,T3,AC3,AF3)</f>
        <v>1</v>
      </c>
      <c r="AJ3" s="72">
        <f>AG3*50/12</f>
        <v>30.555555555555554</v>
      </c>
      <c r="AK3" s="72">
        <f>(AH3*12.5)+(AI3*25)</f>
        <v>75</v>
      </c>
      <c r="AL3" s="45">
        <f>ABS(L3-U3)</f>
        <v>1</v>
      </c>
      <c r="AM3" s="45">
        <f>ABS(L3-AD3)</f>
        <v>1</v>
      </c>
      <c r="AN3" s="45">
        <f>ABS(U3-AD3)</f>
        <v>0</v>
      </c>
    </row>
    <row r="4" spans="1:40" ht="15">
      <c r="A4" s="55">
        <v>2</v>
      </c>
      <c r="B4" s="31" t="str">
        <f>IF(Berechnung!B4="","",Berechnung!B4)</f>
        <v>Jonas</v>
      </c>
      <c r="C4" s="31" t="str">
        <f>IF(Berechnung!C4="","",Berechnung!C4)</f>
        <v>Kretschmer</v>
      </c>
      <c r="D4" s="65">
        <v>1</v>
      </c>
      <c r="E4" s="65">
        <v>0</v>
      </c>
      <c r="F4" s="65">
        <v>1</v>
      </c>
      <c r="G4" s="65">
        <v>2</v>
      </c>
      <c r="H4" s="56">
        <v>0</v>
      </c>
      <c r="I4" s="56">
        <v>1</v>
      </c>
      <c r="J4" s="56">
        <v>6</v>
      </c>
      <c r="K4" s="56">
        <v>0</v>
      </c>
      <c r="L4" s="70">
        <f>IF(SUM(D4:I4)&gt;12,12,SUM(D4:I4))</f>
        <v>5</v>
      </c>
      <c r="M4" s="107">
        <v>1</v>
      </c>
      <c r="N4" s="107">
        <v>0</v>
      </c>
      <c r="O4" s="107">
        <v>1</v>
      </c>
      <c r="P4" s="107">
        <v>2</v>
      </c>
      <c r="Q4" s="107">
        <v>0</v>
      </c>
      <c r="R4" s="107">
        <v>1</v>
      </c>
      <c r="S4" s="107">
        <v>6</v>
      </c>
      <c r="T4" s="107">
        <v>0</v>
      </c>
      <c r="U4" s="71">
        <f>IF(SUM(M4:R4)&gt;12,12,SUM(M4:R4))</f>
        <v>5</v>
      </c>
      <c r="V4" s="108">
        <v>1</v>
      </c>
      <c r="W4" s="108">
        <v>0</v>
      </c>
      <c r="X4" s="108">
        <v>1</v>
      </c>
      <c r="Y4" s="108">
        <v>2</v>
      </c>
      <c r="Z4" s="108">
        <v>0</v>
      </c>
      <c r="AA4" s="108">
        <v>1</v>
      </c>
      <c r="AB4" s="108">
        <v>5</v>
      </c>
      <c r="AC4" s="108">
        <v>0</v>
      </c>
      <c r="AD4" s="100">
        <f>IF(SUM(V4:AA4)&gt;12,12,SUM(V4:AA4))</f>
        <v>5</v>
      </c>
      <c r="AE4" s="109">
        <v>5</v>
      </c>
      <c r="AF4" s="109">
        <v>1</v>
      </c>
      <c r="AG4" s="72">
        <f>AVERAGE(L4,U4,AD4)</f>
        <v>5</v>
      </c>
      <c r="AH4" s="102">
        <f>AVERAGE(J4,S4,AB4,AE4)</f>
        <v>5.5</v>
      </c>
      <c r="AI4" s="102">
        <f>AVERAGE(K4,T4,AC4,AF4)</f>
        <v>0.25</v>
      </c>
      <c r="AJ4" s="72">
        <f>AG4*50/12</f>
        <v>20.833333333333332</v>
      </c>
      <c r="AK4" s="72">
        <f>(AH4*12.5)+(AI4*25)</f>
        <v>75</v>
      </c>
      <c r="AL4" s="45">
        <f>ABS(L4-U4)</f>
        <v>0</v>
      </c>
      <c r="AM4" s="45">
        <f>ABS(L4-AD4)</f>
        <v>0</v>
      </c>
      <c r="AN4" s="45">
        <f>ABS(U4-AD4)</f>
        <v>0</v>
      </c>
    </row>
    <row r="5" ht="15"/>
    <row r="7" spans="4:39" ht="15">
      <c r="D7" s="88" t="s">
        <v>55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104"/>
      <c r="AI7" s="104"/>
      <c r="AJ7" s="88"/>
      <c r="AK7" s="88"/>
      <c r="AL7" s="88"/>
      <c r="AM7" s="88"/>
    </row>
    <row r="9" ht="18.75">
      <c r="D9" s="95" t="s">
        <v>74</v>
      </c>
    </row>
  </sheetData>
  <sheetProtection/>
  <protectedRanges>
    <protectedRange sqref="D5:K5 M5:T5 S3:T4 V3:AC5 AE3:AF4 J3:K4" name="V1 Kombi"/>
    <protectedRange password="CF7A" sqref="D3:I4" name="V1 Kombi_2"/>
    <protectedRange password="CF7A" sqref="M3:R4" name="V2 Kombi_1"/>
  </protectedRanges>
  <mergeCells count="4">
    <mergeCell ref="D1:L1"/>
    <mergeCell ref="M1:U1"/>
    <mergeCell ref="V1:AD1"/>
    <mergeCell ref="AE1:AF1"/>
  </mergeCells>
  <conditionalFormatting sqref="A3:AL4">
    <cfRule type="expression" priority="1" dxfId="10">
      <formula>$AN3&gt;7.9999</formula>
    </cfRule>
    <cfRule type="expression" priority="2" dxfId="10">
      <formula>$AM3&gt;7.99999</formula>
    </cfRule>
    <cfRule type="expression" priority="68" dxfId="20">
      <formula>$AL3&gt;7.9999</formula>
    </cfRule>
  </conditionalFormatting>
  <conditionalFormatting sqref="B3:C4">
    <cfRule type="expression" priority="19" dxfId="21">
      <formula>R3&gt;7.99999</formula>
    </cfRule>
    <cfRule type="expression" priority="20" dxfId="21">
      <formula>#REF!&gt;7.9999</formula>
    </cfRule>
    <cfRule type="expression" priority="21" dxfId="21">
      <formula>$Q3&gt;7.99999</formula>
    </cfRule>
  </conditionalFormatting>
  <conditionalFormatting sqref="D3:I4 M3:R4">
    <cfRule type="expression" priority="16" dxfId="21">
      <formula>$BH3&gt;7.9999</formula>
    </cfRule>
    <cfRule type="expression" priority="17" dxfId="21">
      <formula>$BG3&gt;7.99999</formula>
    </cfRule>
    <cfRule type="expression" priority="18" dxfId="22">
      <formula>$BF3&gt;7.99999</formula>
    </cfRule>
  </conditionalFormatting>
  <conditionalFormatting sqref="AM3">
    <cfRule type="expression" priority="6" dxfId="21">
      <formula>$AL3&gt;7.9999</formula>
    </cfRule>
  </conditionalFormatting>
  <conditionalFormatting sqref="AN3">
    <cfRule type="expression" priority="5" dxfId="21">
      <formula>$AL3&gt;7.9999</formula>
    </cfRule>
  </conditionalFormatting>
  <conditionalFormatting sqref="AM4">
    <cfRule type="expression" priority="4" dxfId="21">
      <formula>$AL4&gt;7.9999</formula>
    </cfRule>
  </conditionalFormatting>
  <conditionalFormatting sqref="AN4">
    <cfRule type="expression" priority="3" dxfId="21">
      <formula>$AL4&gt;7.9999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J21" sqref="J21"/>
    </sheetView>
  </sheetViews>
  <sheetFormatPr defaultColWidth="11.421875" defaultRowHeight="15"/>
  <cols>
    <col min="1" max="1" width="5.57421875" style="73" bestFit="1" customWidth="1"/>
    <col min="2" max="2" width="9.28125" style="73" bestFit="1" customWidth="1"/>
    <col min="3" max="3" width="11.00390625" style="73" bestFit="1" customWidth="1"/>
    <col min="4" max="4" width="4.421875" style="73" bestFit="1" customWidth="1"/>
    <col min="5" max="5" width="29.140625" style="73" bestFit="1" customWidth="1"/>
    <col min="6" max="7" width="7.8515625" style="73" bestFit="1" customWidth="1"/>
    <col min="8" max="8" width="10.00390625" style="73" customWidth="1"/>
    <col min="9" max="9" width="7.8515625" style="73" bestFit="1" customWidth="1"/>
    <col min="10" max="10" width="9.8515625" style="73" customWidth="1"/>
    <col min="11" max="11" width="8.7109375" style="73" bestFit="1" customWidth="1"/>
    <col min="12" max="12" width="9.421875" style="73" customWidth="1"/>
    <col min="13" max="13" width="8.57421875" style="73" customWidth="1"/>
    <col min="14" max="16384" width="11.421875" style="73" customWidth="1"/>
  </cols>
  <sheetData>
    <row r="1" spans="1:13" ht="12.75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3" spans="6:13" ht="12.75">
      <c r="F3" s="132" t="s">
        <v>0</v>
      </c>
      <c r="G3" s="133"/>
      <c r="H3" s="134" t="s">
        <v>1</v>
      </c>
      <c r="I3" s="135"/>
      <c r="J3" s="130" t="s">
        <v>2</v>
      </c>
      <c r="K3" s="131"/>
      <c r="L3" s="74"/>
      <c r="M3" s="128" t="s">
        <v>42</v>
      </c>
    </row>
    <row r="4" spans="1:13" ht="12.75">
      <c r="A4" s="75" t="s">
        <v>43</v>
      </c>
      <c r="B4" s="76" t="s">
        <v>5</v>
      </c>
      <c r="C4" s="76" t="s">
        <v>6</v>
      </c>
      <c r="D4" s="77" t="s">
        <v>44</v>
      </c>
      <c r="E4" s="78" t="s">
        <v>8</v>
      </c>
      <c r="F4" s="93" t="s">
        <v>46</v>
      </c>
      <c r="G4" s="81" t="s">
        <v>47</v>
      </c>
      <c r="H4" s="83" t="s">
        <v>46</v>
      </c>
      <c r="I4" s="84" t="s">
        <v>47</v>
      </c>
      <c r="J4" s="85" t="s">
        <v>46</v>
      </c>
      <c r="K4" s="94" t="s">
        <v>60</v>
      </c>
      <c r="L4" s="86" t="s">
        <v>46</v>
      </c>
      <c r="M4" s="129"/>
    </row>
    <row r="5" spans="1:13" ht="14.25">
      <c r="A5" s="114">
        <v>1</v>
      </c>
      <c r="B5" s="31" t="str">
        <f>IF(Berechnung!B3="","",Berechnung!B3)</f>
        <v>Marcel</v>
      </c>
      <c r="C5" s="31" t="str">
        <f>IF(Berechnung!C3="","",Berechnung!C3)</f>
        <v>Friedl</v>
      </c>
      <c r="D5" s="31">
        <f>IF(Berechnung!D3="","",Berechnung!D3)</f>
        <v>2002</v>
      </c>
      <c r="E5" s="31" t="str">
        <f>IF(Berechnung!E3="","",Berechnung!E3)</f>
        <v>SPU RS Groß-Siegharts</v>
      </c>
      <c r="F5" s="96">
        <f>IF(Berechnung!G3="","",Berechnung!G3)</f>
        <v>300</v>
      </c>
      <c r="G5" s="90">
        <f>RANK(F5,$F$5:$F$6)</f>
        <v>2</v>
      </c>
      <c r="H5" s="96">
        <f>IF(Berechnung!I3="","",Berechnung!I3)</f>
        <v>320</v>
      </c>
      <c r="I5" s="90">
        <f>RANK(H5,$H$5:$H$6)</f>
        <v>1</v>
      </c>
      <c r="J5" s="89">
        <f>'Ergebnis Freestyle'!O5</f>
        <v>95.34305555555555</v>
      </c>
      <c r="K5" s="90">
        <f>'Ergebnis Freestyle'!P5*2</f>
        <v>2</v>
      </c>
      <c r="L5" s="89">
        <f>J5+H5+F5</f>
        <v>715.3430555555556</v>
      </c>
      <c r="M5" s="90">
        <f>G5+I5+K5</f>
        <v>5</v>
      </c>
    </row>
    <row r="6" spans="1:13" ht="14.25">
      <c r="A6" s="114">
        <v>2</v>
      </c>
      <c r="B6" s="31" t="str">
        <f>IF(Berechnung!B4="","",Berechnung!B4)</f>
        <v>Jonas</v>
      </c>
      <c r="C6" s="31" t="str">
        <f>IF(Berechnung!C4="","",Berechnung!C4)</f>
        <v>Kretschmer</v>
      </c>
      <c r="D6" s="31">
        <f>IF(Berechnung!D4="","",Berechnung!D4)</f>
        <v>2000</v>
      </c>
      <c r="E6" s="31" t="str">
        <f>IF(Berechnung!E4="","",Berechnung!E4)</f>
        <v>SPU RS Groß-Siegharts</v>
      </c>
      <c r="F6" s="96">
        <f>IF(Berechnung!G4="","",Berechnung!G4)</f>
        <v>335</v>
      </c>
      <c r="G6" s="90">
        <f>RANK(F6,$F$5:$F$6)</f>
        <v>1</v>
      </c>
      <c r="H6" s="96">
        <f>IF(Berechnung!I4="","",Berechnung!I4)</f>
        <v>305</v>
      </c>
      <c r="I6" s="90">
        <f>RANK(H6,$H$5:$H$6)</f>
        <v>2</v>
      </c>
      <c r="J6" s="89">
        <f>'Ergebnis Freestyle'!O6</f>
        <v>79.44583333333333</v>
      </c>
      <c r="K6" s="90">
        <f>'Ergebnis Freestyle'!P6*2</f>
        <v>4</v>
      </c>
      <c r="L6" s="89">
        <f>J6+H6+F6</f>
        <v>719.4458333333333</v>
      </c>
      <c r="M6" s="90">
        <f>G6+I6+K6</f>
        <v>7</v>
      </c>
    </row>
    <row r="8" ht="12.75">
      <c r="J8" s="115"/>
    </row>
  </sheetData>
  <sheetProtection/>
  <mergeCells count="5">
    <mergeCell ref="M3:M4"/>
    <mergeCell ref="J3:K3"/>
    <mergeCell ref="F3:G3"/>
    <mergeCell ref="H3:I3"/>
    <mergeCell ref="A1:M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5.57421875" style="73" bestFit="1" customWidth="1"/>
    <col min="2" max="2" width="9.28125" style="73" bestFit="1" customWidth="1"/>
    <col min="3" max="3" width="11.00390625" style="73" bestFit="1" customWidth="1"/>
    <col min="4" max="4" width="4.421875" style="73" bestFit="1" customWidth="1"/>
    <col min="5" max="5" width="29.140625" style="73" bestFit="1" customWidth="1"/>
    <col min="6" max="8" width="7.8515625" style="73" bestFit="1" customWidth="1"/>
    <col min="9" max="16384" width="11.421875" style="73" customWidth="1"/>
  </cols>
  <sheetData>
    <row r="1" spans="1:8" ht="15" customHeight="1">
      <c r="A1" s="136" t="s">
        <v>90</v>
      </c>
      <c r="B1" s="136"/>
      <c r="C1" s="136"/>
      <c r="D1" s="136"/>
      <c r="E1" s="136"/>
      <c r="F1" s="136"/>
      <c r="G1" s="136"/>
      <c r="H1" s="136"/>
    </row>
    <row r="3" spans="6:8" ht="12.75" customHeight="1">
      <c r="F3" s="137" t="s">
        <v>0</v>
      </c>
      <c r="G3" s="137"/>
      <c r="H3" s="138"/>
    </row>
    <row r="4" spans="1:8" ht="12.75">
      <c r="A4" s="75" t="s">
        <v>43</v>
      </c>
      <c r="B4" s="76" t="s">
        <v>5</v>
      </c>
      <c r="C4" s="76" t="s">
        <v>6</v>
      </c>
      <c r="D4" s="77" t="s">
        <v>44</v>
      </c>
      <c r="E4" s="78" t="s">
        <v>8</v>
      </c>
      <c r="F4" s="79" t="s">
        <v>45</v>
      </c>
      <c r="G4" s="80" t="s">
        <v>46</v>
      </c>
      <c r="H4" s="81" t="s">
        <v>47</v>
      </c>
    </row>
    <row r="5" spans="1:8" ht="14.25">
      <c r="A5" s="114">
        <v>1</v>
      </c>
      <c r="B5" s="31" t="str">
        <f>IF(Berechnung!B4="","",Berechnung!B4)</f>
        <v>Jonas</v>
      </c>
      <c r="C5" s="31" t="str">
        <f>IF(Berechnung!C4="","",Berechnung!C4)</f>
        <v>Kretschmer</v>
      </c>
      <c r="D5" s="31">
        <f>IF(Berechnung!D4="","",Berechnung!D4)</f>
        <v>2000</v>
      </c>
      <c r="E5" s="31" t="str">
        <f>IF(Berechnung!E4="","",Berechnung!E4)</f>
        <v>SPU RS Groß-Siegharts</v>
      </c>
      <c r="F5" s="90">
        <f>IF(Berechnung!F4="","",Berechnung!F4)</f>
        <v>67</v>
      </c>
      <c r="G5" s="90">
        <f>IF(Berechnung!G4="","",Berechnung!G4)</f>
        <v>335</v>
      </c>
      <c r="H5" s="90">
        <f>RANK(G5,$G$5:$G$6)</f>
        <v>1</v>
      </c>
    </row>
    <row r="6" spans="1:8" ht="14.25">
      <c r="A6" s="114">
        <v>2</v>
      </c>
      <c r="B6" s="31" t="str">
        <f>IF(Berechnung!B3="","",Berechnung!B3)</f>
        <v>Marcel</v>
      </c>
      <c r="C6" s="31" t="str">
        <f>IF(Berechnung!C3="","",Berechnung!C3)</f>
        <v>Friedl</v>
      </c>
      <c r="D6" s="31">
        <f>IF(Berechnung!D3="","",Berechnung!D3)</f>
        <v>2002</v>
      </c>
      <c r="E6" s="31" t="str">
        <f>IF(Berechnung!E3="","",Berechnung!E3)</f>
        <v>SPU RS Groß-Siegharts</v>
      </c>
      <c r="F6" s="90">
        <f>IF(Berechnung!F3="","",Berechnung!F3)</f>
        <v>60</v>
      </c>
      <c r="G6" s="90">
        <f>IF(Berechnung!G3="","",Berechnung!G3)</f>
        <v>300</v>
      </c>
      <c r="H6" s="90">
        <f>RANK(G6,$G$5:$G$6)</f>
        <v>2</v>
      </c>
    </row>
  </sheetData>
  <sheetProtection/>
  <mergeCells count="2">
    <mergeCell ref="F3:H3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5.57421875" style="73" bestFit="1" customWidth="1"/>
    <col min="2" max="2" width="9.28125" style="73" bestFit="1" customWidth="1"/>
    <col min="3" max="3" width="13.140625" style="73" bestFit="1" customWidth="1"/>
    <col min="4" max="4" width="4.421875" style="73" bestFit="1" customWidth="1"/>
    <col min="5" max="5" width="29.140625" style="73" bestFit="1" customWidth="1"/>
    <col min="6" max="6" width="8.140625" style="73" bestFit="1" customWidth="1"/>
    <col min="7" max="7" width="10.00390625" style="73" customWidth="1"/>
    <col min="8" max="8" width="7.8515625" style="73" bestFit="1" customWidth="1"/>
    <col min="9" max="16384" width="11.421875" style="73" customWidth="1"/>
  </cols>
  <sheetData>
    <row r="1" spans="1:8" ht="12.75">
      <c r="A1" s="136" t="s">
        <v>91</v>
      </c>
      <c r="B1" s="136"/>
      <c r="C1" s="136"/>
      <c r="D1" s="136"/>
      <c r="E1" s="136"/>
      <c r="F1" s="136"/>
      <c r="G1" s="136"/>
      <c r="H1" s="136"/>
    </row>
    <row r="3" spans="6:8" ht="12.75" customHeight="1">
      <c r="F3" s="139" t="s">
        <v>1</v>
      </c>
      <c r="G3" s="139"/>
      <c r="H3" s="140"/>
    </row>
    <row r="4" spans="1:8" ht="12.75">
      <c r="A4" s="75" t="s">
        <v>43</v>
      </c>
      <c r="B4" s="76" t="s">
        <v>5</v>
      </c>
      <c r="C4" s="76" t="s">
        <v>6</v>
      </c>
      <c r="D4" s="77" t="s">
        <v>44</v>
      </c>
      <c r="E4" s="78" t="s">
        <v>8</v>
      </c>
      <c r="F4" s="82" t="s">
        <v>45</v>
      </c>
      <c r="G4" s="83" t="s">
        <v>46</v>
      </c>
      <c r="H4" s="84" t="s">
        <v>47</v>
      </c>
    </row>
    <row r="5" spans="1:8" ht="14.25">
      <c r="A5" s="114">
        <v>1</v>
      </c>
      <c r="B5" s="31" t="str">
        <f>IF(Berechnung!B3="","",Berechnung!B3)</f>
        <v>Marcel</v>
      </c>
      <c r="C5" s="31" t="str">
        <f>IF(Berechnung!C3="","",Berechnung!C3)</f>
        <v>Friedl</v>
      </c>
      <c r="D5" s="31">
        <f>IF(Berechnung!D3="","",Berechnung!D3)</f>
        <v>2002</v>
      </c>
      <c r="E5" s="31" t="str">
        <f>IF(Berechnung!E3="","",Berechnung!E3)</f>
        <v>SPU RS Groß-Siegharts</v>
      </c>
      <c r="F5" s="90">
        <f>IF(Berechnung!H3="","",Berechnung!H3)</f>
        <v>320</v>
      </c>
      <c r="G5" s="90">
        <f>IF(Berechnung!I3="","",Berechnung!I3)</f>
        <v>320</v>
      </c>
      <c r="H5" s="90">
        <f>RANK(G5,$G$5:$G$6)</f>
        <v>1</v>
      </c>
    </row>
    <row r="6" spans="1:8" ht="14.25">
      <c r="A6" s="114">
        <v>2</v>
      </c>
      <c r="B6" s="31" t="str">
        <f>IF(Berechnung!B4="","",Berechnung!B4)</f>
        <v>Jonas</v>
      </c>
      <c r="C6" s="31" t="str">
        <f>IF(Berechnung!C4="","",Berechnung!C4)</f>
        <v>Kretschmer</v>
      </c>
      <c r="D6" s="31">
        <f>IF(Berechnung!D4="","",Berechnung!D4)</f>
        <v>2000</v>
      </c>
      <c r="E6" s="31" t="str">
        <f>IF(Berechnung!E4="","",Berechnung!E4)</f>
        <v>SPU RS Groß-Siegharts</v>
      </c>
      <c r="F6" s="90">
        <f>IF(Berechnung!H4="","",Berechnung!H4)</f>
        <v>305</v>
      </c>
      <c r="G6" s="90">
        <f>IF(Berechnung!I4="","",Berechnung!I4)</f>
        <v>305</v>
      </c>
      <c r="H6" s="90">
        <f>RANK(G6,$G$5:$G$6)</f>
        <v>2</v>
      </c>
    </row>
  </sheetData>
  <sheetProtection/>
  <mergeCells count="2">
    <mergeCell ref="A1:H1"/>
    <mergeCell ref="F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Berberich Silke</dc:creator>
  <cp:keywords/>
  <dc:description/>
  <cp:lastModifiedBy>Tina</cp:lastModifiedBy>
  <cp:lastPrinted>2014-03-06T12:51:04Z</cp:lastPrinted>
  <dcterms:created xsi:type="dcterms:W3CDTF">2013-02-27T14:56:43Z</dcterms:created>
  <dcterms:modified xsi:type="dcterms:W3CDTF">2014-03-06T12:51:22Z</dcterms:modified>
  <cp:category/>
  <cp:version/>
  <cp:contentType/>
  <cp:contentStatus/>
</cp:coreProperties>
</file>